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.xml" ContentType="application/vnd.openxmlformats-officedocument.drawing+xml"/>
  <Override PartName="/xl/tables/table10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010" windowHeight="8025" tabRatio="823" firstSheet="7" activeTab="16"/>
  </bookViews>
  <sheets>
    <sheet name="2017 HRP Target" sheetId="2" r:id="rId1"/>
    <sheet name="Jan.17" sheetId="12" r:id="rId2"/>
    <sheet name="Feb.17" sheetId="13" r:id="rId3"/>
    <sheet name="Mar.17" sheetId="14" r:id="rId4"/>
    <sheet name="Apr.17" sheetId="15" r:id="rId5"/>
    <sheet name="May.17" sheetId="16" r:id="rId6"/>
    <sheet name="Jun.17" sheetId="17" r:id="rId7"/>
    <sheet name="Jul.17" sheetId="19" r:id="rId8"/>
    <sheet name="Aug.17" sheetId="21" r:id="rId9"/>
    <sheet name="Sept.17" sheetId="25" r:id="rId10"/>
    <sheet name="Consolidated 2017_Response" sheetId="4" r:id="rId11"/>
    <sheet name="PMR May.17" sheetId="11" r:id="rId12"/>
    <sheet name="PMR Jun.17" sheetId="18" r:id="rId13"/>
    <sheet name="PMR Jul.17" sheetId="20" r:id="rId14"/>
    <sheet name="PMR Aug.17" sheetId="22" r:id="rId15"/>
    <sheet name="PMR Sept.17" sheetId="26" r:id="rId16"/>
    <sheet name="Consolidated 2017_PMR " sheetId="23" r:id="rId17"/>
  </sheets>
  <definedNames>
    <definedName name="_xlnm.Print_Area" localSheetId="10">'Consolidated 2017_Response'!$A$1:$L$24</definedName>
  </definedNames>
  <calcPr calcId="145621"/>
</workbook>
</file>

<file path=xl/calcChain.xml><?xml version="1.0" encoding="utf-8"?>
<calcChain xmlns="http://schemas.openxmlformats.org/spreadsheetml/2006/main">
  <c r="W32" i="23" l="1"/>
  <c r="W21" i="23"/>
  <c r="W23" i="23"/>
  <c r="W25" i="23"/>
  <c r="W19" i="23"/>
  <c r="V25" i="23"/>
  <c r="V23" i="23"/>
  <c r="V21" i="23"/>
  <c r="V19" i="23"/>
  <c r="W12" i="23"/>
  <c r="W10" i="23"/>
  <c r="V12" i="23"/>
  <c r="V10" i="23"/>
  <c r="V32" i="23"/>
  <c r="J30" i="26"/>
  <c r="K30" i="26" s="1"/>
  <c r="J23" i="26"/>
  <c r="K23" i="26" s="1"/>
  <c r="J21" i="26"/>
  <c r="K21" i="26" s="1"/>
  <c r="K19" i="26"/>
  <c r="J19" i="26"/>
  <c r="J17" i="26"/>
  <c r="K17" i="26" s="1"/>
  <c r="K10" i="26"/>
  <c r="J10" i="26"/>
  <c r="J8" i="26"/>
  <c r="K8" i="26" s="1"/>
  <c r="G4" i="4"/>
  <c r="H4" i="4"/>
  <c r="I4" i="4"/>
  <c r="J4" i="4"/>
  <c r="K4" i="4"/>
  <c r="L4" i="4"/>
  <c r="G5" i="4"/>
  <c r="H5" i="4"/>
  <c r="I5" i="4"/>
  <c r="J5" i="4"/>
  <c r="K5" i="4"/>
  <c r="L5" i="4"/>
  <c r="G6" i="4"/>
  <c r="H6" i="4"/>
  <c r="I6" i="4"/>
  <c r="J6" i="4"/>
  <c r="K6" i="4"/>
  <c r="L6" i="4"/>
  <c r="G7" i="4"/>
  <c r="H7" i="4"/>
  <c r="I7" i="4"/>
  <c r="J7" i="4"/>
  <c r="K7" i="4"/>
  <c r="L7" i="4"/>
  <c r="G8" i="4"/>
  <c r="H8" i="4"/>
  <c r="I8" i="4"/>
  <c r="J8" i="4"/>
  <c r="K8" i="4"/>
  <c r="L8" i="4"/>
  <c r="G9" i="4"/>
  <c r="H9" i="4"/>
  <c r="I9" i="4"/>
  <c r="J9" i="4"/>
  <c r="K9" i="4"/>
  <c r="L9" i="4"/>
  <c r="G10" i="4"/>
  <c r="H10" i="4"/>
  <c r="I10" i="4"/>
  <c r="J10" i="4"/>
  <c r="K10" i="4"/>
  <c r="L10" i="4"/>
  <c r="G11" i="4"/>
  <c r="H11" i="4"/>
  <c r="I11" i="4"/>
  <c r="J11" i="4"/>
  <c r="K11" i="4"/>
  <c r="L11" i="4"/>
  <c r="G12" i="4"/>
  <c r="H12" i="4"/>
  <c r="I12" i="4"/>
  <c r="J12" i="4"/>
  <c r="K12" i="4"/>
  <c r="L12" i="4"/>
  <c r="G13" i="4"/>
  <c r="H13" i="4"/>
  <c r="I13" i="4"/>
  <c r="J13" i="4"/>
  <c r="K13" i="4"/>
  <c r="L13" i="4"/>
  <c r="G14" i="4"/>
  <c r="H14" i="4"/>
  <c r="I14" i="4"/>
  <c r="J14" i="4"/>
  <c r="K14" i="4"/>
  <c r="L14" i="4"/>
  <c r="G15" i="4"/>
  <c r="H15" i="4"/>
  <c r="I15" i="4"/>
  <c r="J15" i="4"/>
  <c r="K15" i="4"/>
  <c r="L15" i="4"/>
  <c r="G16" i="4"/>
  <c r="H16" i="4"/>
  <c r="I16" i="4"/>
  <c r="J16" i="4"/>
  <c r="K16" i="4"/>
  <c r="L16" i="4"/>
  <c r="G17" i="4"/>
  <c r="H17" i="4"/>
  <c r="I17" i="4"/>
  <c r="J17" i="4"/>
  <c r="K17" i="4"/>
  <c r="L17" i="4"/>
  <c r="G18" i="4"/>
  <c r="H18" i="4"/>
  <c r="I18" i="4"/>
  <c r="J18" i="4"/>
  <c r="K18" i="4"/>
  <c r="L18" i="4"/>
  <c r="G19" i="4"/>
  <c r="H19" i="4"/>
  <c r="I19" i="4"/>
  <c r="J19" i="4"/>
  <c r="K19" i="4"/>
  <c r="L19" i="4"/>
  <c r="G20" i="4"/>
  <c r="H20" i="4"/>
  <c r="I20" i="4"/>
  <c r="J20" i="4"/>
  <c r="K20" i="4"/>
  <c r="L20" i="4"/>
  <c r="H3" i="4"/>
  <c r="I3" i="4"/>
  <c r="J3" i="4"/>
  <c r="K3" i="4"/>
  <c r="L3" i="4"/>
  <c r="G3" i="4"/>
  <c r="J18" i="25"/>
  <c r="J15" i="25"/>
  <c r="J11" i="25"/>
  <c r="J9" i="25"/>
  <c r="J8" i="25"/>
  <c r="J7" i="25"/>
  <c r="J3" i="25"/>
  <c r="D59" i="25"/>
  <c r="D60" i="25" s="1"/>
  <c r="C59" i="25"/>
  <c r="C60" i="25" s="1"/>
  <c r="D53" i="25"/>
  <c r="D54" i="25" s="1"/>
  <c r="C53" i="25"/>
  <c r="C54" i="25" s="1"/>
  <c r="D50" i="25"/>
  <c r="D46" i="25"/>
  <c r="D42" i="25"/>
  <c r="D38" i="25"/>
  <c r="D31" i="25"/>
  <c r="C31" i="25"/>
  <c r="D30" i="25"/>
  <c r="D28" i="25" s="1"/>
  <c r="C30" i="25"/>
  <c r="D29" i="25"/>
  <c r="D27" i="25"/>
  <c r="L21" i="25"/>
  <c r="L22" i="25" s="1"/>
  <c r="K21" i="25"/>
  <c r="K22" i="25" s="1"/>
  <c r="J21" i="25"/>
  <c r="J22" i="25" s="1"/>
  <c r="I21" i="25"/>
  <c r="I22" i="25" s="1"/>
  <c r="H21" i="25"/>
  <c r="H22" i="25" s="1"/>
  <c r="G21" i="25"/>
  <c r="G22" i="25" s="1"/>
  <c r="D21" i="25"/>
  <c r="D22" i="25" s="1"/>
  <c r="C21" i="25"/>
  <c r="C22" i="25" s="1"/>
  <c r="F20" i="25"/>
  <c r="E20" i="25"/>
  <c r="F19" i="25"/>
  <c r="E19" i="25"/>
  <c r="F18" i="25"/>
  <c r="E18" i="25"/>
  <c r="F17" i="25"/>
  <c r="E17" i="25"/>
  <c r="F16" i="25"/>
  <c r="E16" i="25"/>
  <c r="F15" i="25"/>
  <c r="E15" i="25"/>
  <c r="F14" i="25"/>
  <c r="E14" i="25"/>
  <c r="F13" i="25"/>
  <c r="E13" i="25"/>
  <c r="F12" i="25"/>
  <c r="E12" i="25"/>
  <c r="F11" i="25"/>
  <c r="E11" i="25"/>
  <c r="F10" i="25"/>
  <c r="E10" i="25"/>
  <c r="F9" i="25"/>
  <c r="E9" i="25"/>
  <c r="F8" i="25"/>
  <c r="E8" i="25"/>
  <c r="F7" i="25"/>
  <c r="E7" i="25"/>
  <c r="F6" i="25"/>
  <c r="E6" i="25"/>
  <c r="F5" i="25"/>
  <c r="E5" i="25"/>
  <c r="F4" i="25"/>
  <c r="E4" i="25"/>
  <c r="F3" i="25"/>
  <c r="E3" i="25"/>
  <c r="F22" i="25" l="1"/>
  <c r="E21" i="25"/>
  <c r="E22" i="25" s="1"/>
  <c r="F21" i="25"/>
  <c r="F23" i="25" s="1"/>
  <c r="D37" i="25"/>
  <c r="D41" i="25"/>
  <c r="D45" i="25"/>
  <c r="D49" i="25"/>
  <c r="D35" i="25"/>
  <c r="D39" i="25"/>
  <c r="D43" i="25"/>
  <c r="D47" i="25"/>
  <c r="D51" i="25"/>
  <c r="D36" i="25"/>
  <c r="D40" i="25"/>
  <c r="D44" i="25"/>
  <c r="D48" i="25"/>
  <c r="D52" i="25"/>
  <c r="T32" i="23"/>
  <c r="T21" i="23"/>
  <c r="T23" i="23"/>
  <c r="T25" i="23"/>
  <c r="T19" i="23"/>
  <c r="T12" i="23"/>
  <c r="T10" i="23"/>
  <c r="Q32" i="23"/>
  <c r="Q21" i="23"/>
  <c r="Q23" i="23"/>
  <c r="Q25" i="23"/>
  <c r="Q19" i="23"/>
  <c r="Q12" i="23"/>
  <c r="Q10" i="23"/>
  <c r="N32" i="23"/>
  <c r="N21" i="23"/>
  <c r="N23" i="23"/>
  <c r="N25" i="23"/>
  <c r="N19" i="23"/>
  <c r="N12" i="23"/>
  <c r="N10" i="23"/>
  <c r="S32" i="23"/>
  <c r="S25" i="23"/>
  <c r="S23" i="23"/>
  <c r="S21" i="23"/>
  <c r="S19" i="23"/>
  <c r="S12" i="23"/>
  <c r="S10" i="23"/>
  <c r="P32" i="23"/>
  <c r="P25" i="23"/>
  <c r="P23" i="23"/>
  <c r="P21" i="23"/>
  <c r="P19" i="23"/>
  <c r="P12" i="23"/>
  <c r="P10" i="23"/>
  <c r="M32" i="23"/>
  <c r="M25" i="23"/>
  <c r="M23" i="23"/>
  <c r="M21" i="23"/>
  <c r="M19" i="23"/>
  <c r="M12" i="23"/>
  <c r="M10" i="23"/>
  <c r="J32" i="23"/>
  <c r="K32" i="23" s="1"/>
  <c r="J25" i="23"/>
  <c r="K25" i="23" s="1"/>
  <c r="J23" i="23"/>
  <c r="K23" i="23" s="1"/>
  <c r="J21" i="23"/>
  <c r="K21" i="23" s="1"/>
  <c r="J19" i="23"/>
  <c r="K19" i="23" s="1"/>
  <c r="J12" i="23"/>
  <c r="K12" i="23" s="1"/>
  <c r="J10" i="23"/>
  <c r="K10" i="23" s="1"/>
  <c r="E23" i="25" l="1"/>
  <c r="F15" i="21"/>
  <c r="F11" i="21"/>
  <c r="F7" i="21"/>
  <c r="H21" i="21"/>
  <c r="H22" i="21" s="1"/>
  <c r="E4" i="21"/>
  <c r="K30" i="22"/>
  <c r="J30" i="22"/>
  <c r="J23" i="22"/>
  <c r="K23" i="22" s="1"/>
  <c r="J21" i="22"/>
  <c r="K21" i="22" s="1"/>
  <c r="J19" i="22"/>
  <c r="K19" i="22" s="1"/>
  <c r="K17" i="22"/>
  <c r="J17" i="22"/>
  <c r="J10" i="22"/>
  <c r="K10" i="22" s="1"/>
  <c r="K8" i="22"/>
  <c r="J8" i="22"/>
  <c r="C60" i="21"/>
  <c r="D59" i="21"/>
  <c r="D60" i="21" s="1"/>
  <c r="C59" i="21"/>
  <c r="C54" i="21"/>
  <c r="D53" i="21"/>
  <c r="D54" i="21" s="1"/>
  <c r="C53" i="21"/>
  <c r="D51" i="21"/>
  <c r="D50" i="21"/>
  <c r="D47" i="21"/>
  <c r="D46" i="21"/>
  <c r="D45" i="21"/>
  <c r="D43" i="21"/>
  <c r="D42" i="21"/>
  <c r="D41" i="21"/>
  <c r="D39" i="21"/>
  <c r="D38" i="21"/>
  <c r="D37" i="21"/>
  <c r="D35" i="21"/>
  <c r="D31" i="21"/>
  <c r="D30" i="21"/>
  <c r="C30" i="21"/>
  <c r="D27" i="21" s="1"/>
  <c r="L21" i="21"/>
  <c r="L22" i="21" s="1"/>
  <c r="K21" i="21"/>
  <c r="K22" i="21" s="1"/>
  <c r="J21" i="21"/>
  <c r="J22" i="21" s="1"/>
  <c r="I21" i="21"/>
  <c r="I22" i="21" s="1"/>
  <c r="D21" i="21"/>
  <c r="D22" i="21" s="1"/>
  <c r="C21" i="21"/>
  <c r="C22" i="21" s="1"/>
  <c r="F20" i="21"/>
  <c r="E20" i="21"/>
  <c r="F19" i="21"/>
  <c r="E19" i="21"/>
  <c r="F18" i="21"/>
  <c r="E18" i="21"/>
  <c r="F17" i="21"/>
  <c r="E17" i="21"/>
  <c r="F16" i="21"/>
  <c r="E16" i="21"/>
  <c r="E15" i="21"/>
  <c r="F14" i="21"/>
  <c r="E14" i="21"/>
  <c r="F13" i="21"/>
  <c r="E13" i="21"/>
  <c r="F12" i="21"/>
  <c r="E12" i="21"/>
  <c r="E11" i="21"/>
  <c r="F10" i="21"/>
  <c r="E10" i="21"/>
  <c r="F9" i="21"/>
  <c r="E9" i="21"/>
  <c r="F8" i="21"/>
  <c r="E8" i="21"/>
  <c r="E7" i="21"/>
  <c r="F6" i="21"/>
  <c r="E6" i="21"/>
  <c r="F5" i="21"/>
  <c r="E5" i="21"/>
  <c r="F4" i="21"/>
  <c r="F3" i="21"/>
  <c r="G21" i="21" l="1"/>
  <c r="G22" i="21" s="1"/>
  <c r="E3" i="21"/>
  <c r="E21" i="21" s="1"/>
  <c r="E23" i="21" s="1"/>
  <c r="F22" i="21"/>
  <c r="F21" i="21"/>
  <c r="F23" i="21" s="1"/>
  <c r="D28" i="21"/>
  <c r="C31" i="21"/>
  <c r="D49" i="21"/>
  <c r="D29" i="21"/>
  <c r="D36" i="21"/>
  <c r="D40" i="21"/>
  <c r="D44" i="21"/>
  <c r="D48" i="21"/>
  <c r="D52" i="21"/>
  <c r="F15" i="19"/>
  <c r="E3" i="19"/>
  <c r="J30" i="20"/>
  <c r="K30" i="20" s="1"/>
  <c r="J23" i="20"/>
  <c r="K23" i="20" s="1"/>
  <c r="J21" i="20"/>
  <c r="K21" i="20" s="1"/>
  <c r="J19" i="20"/>
  <c r="K19" i="20" s="1"/>
  <c r="J17" i="20"/>
  <c r="K17" i="20" s="1"/>
  <c r="J10" i="20"/>
  <c r="K10" i="20" s="1"/>
  <c r="J8" i="20"/>
  <c r="K8" i="20" s="1"/>
  <c r="D59" i="19"/>
  <c r="D60" i="19" s="1"/>
  <c r="C59" i="19"/>
  <c r="C60" i="19" s="1"/>
  <c r="D53" i="19"/>
  <c r="D54" i="19" s="1"/>
  <c r="C53" i="19"/>
  <c r="C54" i="19" s="1"/>
  <c r="C31" i="19"/>
  <c r="D30" i="19"/>
  <c r="D31" i="19" s="1"/>
  <c r="C30" i="19"/>
  <c r="K21" i="19"/>
  <c r="K22" i="19" s="1"/>
  <c r="J21" i="19"/>
  <c r="J22" i="19" s="1"/>
  <c r="I21" i="19"/>
  <c r="I22" i="19" s="1"/>
  <c r="H21" i="19"/>
  <c r="H22" i="19" s="1"/>
  <c r="D21" i="19"/>
  <c r="D22" i="19" s="1"/>
  <c r="C21" i="19"/>
  <c r="C22" i="19" s="1"/>
  <c r="F20" i="19"/>
  <c r="E20" i="19"/>
  <c r="F19" i="19"/>
  <c r="E19" i="19"/>
  <c r="F18" i="19"/>
  <c r="E18" i="19"/>
  <c r="F17" i="19"/>
  <c r="E17" i="19"/>
  <c r="F16" i="19"/>
  <c r="E16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F6" i="19"/>
  <c r="E6" i="19"/>
  <c r="L21" i="19"/>
  <c r="L22" i="19" s="1"/>
  <c r="F5" i="19"/>
  <c r="E5" i="19"/>
  <c r="F4" i="19"/>
  <c r="E4" i="19"/>
  <c r="F3" i="19"/>
  <c r="E22" i="21" l="1"/>
  <c r="G21" i="19"/>
  <c r="G22" i="19" s="1"/>
  <c r="E21" i="19"/>
  <c r="E22" i="19" s="1"/>
  <c r="D37" i="19"/>
  <c r="D27" i="19"/>
  <c r="D28" i="19"/>
  <c r="D46" i="19"/>
  <c r="D29" i="19"/>
  <c r="D42" i="19"/>
  <c r="D38" i="19"/>
  <c r="D50" i="19"/>
  <c r="D41" i="19"/>
  <c r="F22" i="19"/>
  <c r="F21" i="19"/>
  <c r="F23" i="19" s="1"/>
  <c r="D45" i="19"/>
  <c r="D49" i="19"/>
  <c r="D35" i="19"/>
  <c r="D39" i="19"/>
  <c r="D43" i="19"/>
  <c r="D47" i="19"/>
  <c r="D51" i="19"/>
  <c r="D36" i="19"/>
  <c r="D40" i="19"/>
  <c r="D44" i="19"/>
  <c r="D48" i="19"/>
  <c r="D52" i="19"/>
  <c r="F23" i="17"/>
  <c r="E23" i="17"/>
  <c r="F23" i="16"/>
  <c r="E23" i="16"/>
  <c r="F23" i="15"/>
  <c r="E23" i="15"/>
  <c r="F23" i="14"/>
  <c r="E23" i="14"/>
  <c r="F23" i="13"/>
  <c r="E23" i="13"/>
  <c r="F23" i="12"/>
  <c r="E23" i="12"/>
  <c r="E23" i="19" l="1"/>
  <c r="J30" i="18"/>
  <c r="K30" i="18" s="1"/>
  <c r="J23" i="18"/>
  <c r="K23" i="18" s="1"/>
  <c r="J21" i="18"/>
  <c r="K21" i="18" s="1"/>
  <c r="J19" i="18"/>
  <c r="K19" i="18" s="1"/>
  <c r="J17" i="18"/>
  <c r="K17" i="18" s="1"/>
  <c r="J10" i="18"/>
  <c r="K10" i="18" s="1"/>
  <c r="J8" i="18"/>
  <c r="K8" i="18" s="1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3" i="17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E4" i="16"/>
  <c r="E5" i="16"/>
  <c r="E6" i="16"/>
  <c r="E21" i="16" s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3" i="16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3" i="15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3" i="14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3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3" i="12"/>
  <c r="L21" i="4"/>
  <c r="L22" i="4" s="1"/>
  <c r="L21" i="17"/>
  <c r="L22" i="17" s="1"/>
  <c r="L15" i="17"/>
  <c r="L9" i="17"/>
  <c r="L5" i="17"/>
  <c r="L17" i="16"/>
  <c r="L9" i="16"/>
  <c r="L5" i="16"/>
  <c r="L4" i="16"/>
  <c r="L3" i="16"/>
  <c r="L21" i="15"/>
  <c r="L22" i="15"/>
  <c r="L21" i="14"/>
  <c r="L22" i="14" s="1"/>
  <c r="L17" i="14"/>
  <c r="L14" i="14"/>
  <c r="L11" i="14"/>
  <c r="L10" i="14"/>
  <c r="L8" i="14"/>
  <c r="L5" i="14"/>
  <c r="L21" i="13"/>
  <c r="L22" i="13" s="1"/>
  <c r="L21" i="12"/>
  <c r="L22" i="12" s="1"/>
  <c r="J21" i="17"/>
  <c r="J22" i="17" s="1"/>
  <c r="I21" i="17"/>
  <c r="I22" i="17" s="1"/>
  <c r="J21" i="15"/>
  <c r="J22" i="15" s="1"/>
  <c r="J21" i="14"/>
  <c r="J22" i="14" s="1"/>
  <c r="J21" i="13"/>
  <c r="J22" i="13" s="1"/>
  <c r="J21" i="12"/>
  <c r="J22" i="12" s="1"/>
  <c r="E7" i="4"/>
  <c r="F7" i="4"/>
  <c r="E9" i="4"/>
  <c r="E11" i="4"/>
  <c r="F11" i="4"/>
  <c r="E13" i="4"/>
  <c r="E15" i="4"/>
  <c r="F15" i="4"/>
  <c r="E17" i="4"/>
  <c r="E19" i="4"/>
  <c r="F19" i="4"/>
  <c r="H21" i="17"/>
  <c r="H22" i="17" s="1"/>
  <c r="H21" i="16"/>
  <c r="H22" i="16" s="1"/>
  <c r="H21" i="15"/>
  <c r="H22" i="15" s="1"/>
  <c r="H21" i="14"/>
  <c r="H22" i="14" s="1"/>
  <c r="H21" i="13"/>
  <c r="H22" i="13" s="1"/>
  <c r="H21" i="12"/>
  <c r="H22" i="12" s="1"/>
  <c r="D59" i="17"/>
  <c r="D60" i="17" s="1"/>
  <c r="C59" i="17"/>
  <c r="C60" i="17" s="1"/>
  <c r="D53" i="17"/>
  <c r="D54" i="17" s="1"/>
  <c r="C53" i="17"/>
  <c r="C54" i="17" s="1"/>
  <c r="C31" i="17"/>
  <c r="D30" i="17"/>
  <c r="D28" i="17" s="1"/>
  <c r="C30" i="17"/>
  <c r="K21" i="17"/>
  <c r="K22" i="17" s="1"/>
  <c r="E21" i="17"/>
  <c r="D21" i="17"/>
  <c r="D22" i="17" s="1"/>
  <c r="C21" i="17"/>
  <c r="C22" i="17" s="1"/>
  <c r="D60" i="16"/>
  <c r="D59" i="16"/>
  <c r="C59" i="16"/>
  <c r="C60" i="16" s="1"/>
  <c r="D53" i="16"/>
  <c r="D51" i="16" s="1"/>
  <c r="C53" i="16"/>
  <c r="C54" i="16" s="1"/>
  <c r="C31" i="16"/>
  <c r="D30" i="16"/>
  <c r="D29" i="16" s="1"/>
  <c r="C30" i="16"/>
  <c r="K21" i="16"/>
  <c r="K22" i="16" s="1"/>
  <c r="I21" i="16"/>
  <c r="I22" i="16" s="1"/>
  <c r="G21" i="16"/>
  <c r="G22" i="16" s="1"/>
  <c r="D21" i="16"/>
  <c r="D22" i="16" s="1"/>
  <c r="C21" i="16"/>
  <c r="C22" i="16" s="1"/>
  <c r="D60" i="15"/>
  <c r="D59" i="15"/>
  <c r="C59" i="15"/>
  <c r="C60" i="15" s="1"/>
  <c r="D53" i="15"/>
  <c r="D51" i="15" s="1"/>
  <c r="C53" i="15"/>
  <c r="C54" i="15" s="1"/>
  <c r="D46" i="15"/>
  <c r="D42" i="15"/>
  <c r="C31" i="15"/>
  <c r="D30" i="15"/>
  <c r="D31" i="15" s="1"/>
  <c r="C30" i="15"/>
  <c r="K21" i="15"/>
  <c r="K22" i="15" s="1"/>
  <c r="I21" i="15"/>
  <c r="I22" i="15" s="1"/>
  <c r="G21" i="15"/>
  <c r="G22" i="15" s="1"/>
  <c r="D21" i="15"/>
  <c r="D22" i="15" s="1"/>
  <c r="C21" i="15"/>
  <c r="C22" i="15" s="1"/>
  <c r="C60" i="14"/>
  <c r="D59" i="14"/>
  <c r="D60" i="14" s="1"/>
  <c r="C59" i="14"/>
  <c r="C54" i="14"/>
  <c r="D53" i="14"/>
  <c r="D54" i="14" s="1"/>
  <c r="C53" i="14"/>
  <c r="D30" i="14"/>
  <c r="D31" i="14" s="1"/>
  <c r="C30" i="14"/>
  <c r="C31" i="14" s="1"/>
  <c r="K21" i="14"/>
  <c r="K22" i="14" s="1"/>
  <c r="I21" i="14"/>
  <c r="I22" i="14" s="1"/>
  <c r="G21" i="14"/>
  <c r="G22" i="14" s="1"/>
  <c r="E21" i="14"/>
  <c r="D21" i="14"/>
  <c r="D22" i="14" s="1"/>
  <c r="C21" i="14"/>
  <c r="C22" i="14" s="1"/>
  <c r="D59" i="13"/>
  <c r="D60" i="13" s="1"/>
  <c r="C59" i="13"/>
  <c r="C60" i="13" s="1"/>
  <c r="D53" i="13"/>
  <c r="D54" i="13" s="1"/>
  <c r="C53" i="13"/>
  <c r="C54" i="13" s="1"/>
  <c r="C31" i="13"/>
  <c r="D30" i="13"/>
  <c r="D31" i="13" s="1"/>
  <c r="C30" i="13"/>
  <c r="K21" i="13"/>
  <c r="K22" i="13" s="1"/>
  <c r="I21" i="13"/>
  <c r="I22" i="13" s="1"/>
  <c r="G21" i="13"/>
  <c r="G22" i="13" s="1"/>
  <c r="E21" i="13"/>
  <c r="D21" i="13"/>
  <c r="D22" i="13" s="1"/>
  <c r="C21" i="13"/>
  <c r="C22" i="13" s="1"/>
  <c r="D59" i="12"/>
  <c r="D60" i="12" s="1"/>
  <c r="C59" i="12"/>
  <c r="C60" i="12" s="1"/>
  <c r="D53" i="12"/>
  <c r="D54" i="12" s="1"/>
  <c r="C53" i="12"/>
  <c r="C54" i="12" s="1"/>
  <c r="C31" i="12"/>
  <c r="D30" i="12"/>
  <c r="D27" i="12" s="1"/>
  <c r="C30" i="12"/>
  <c r="G22" i="12"/>
  <c r="K21" i="12"/>
  <c r="K22" i="12" s="1"/>
  <c r="I21" i="12"/>
  <c r="I22" i="12" s="1"/>
  <c r="G21" i="12"/>
  <c r="E21" i="12"/>
  <c r="D21" i="12"/>
  <c r="D22" i="12" s="1"/>
  <c r="C21" i="12"/>
  <c r="C22" i="12" s="1"/>
  <c r="D46" i="12" l="1"/>
  <c r="D42" i="17"/>
  <c r="D38" i="12"/>
  <c r="D38" i="15"/>
  <c r="D48" i="15"/>
  <c r="D54" i="15"/>
  <c r="D40" i="16"/>
  <c r="D41" i="13"/>
  <c r="D40" i="15"/>
  <c r="D50" i="15"/>
  <c r="D48" i="16"/>
  <c r="E22" i="17"/>
  <c r="E22" i="16"/>
  <c r="E20" i="4"/>
  <c r="E16" i="4"/>
  <c r="E14" i="4"/>
  <c r="E12" i="4"/>
  <c r="E10" i="4"/>
  <c r="E8" i="4"/>
  <c r="E6" i="4"/>
  <c r="E4" i="4"/>
  <c r="E18" i="4"/>
  <c r="E5" i="4"/>
  <c r="E22" i="14"/>
  <c r="E22" i="13"/>
  <c r="E3" i="4"/>
  <c r="E22" i="12"/>
  <c r="E21" i="15"/>
  <c r="D40" i="12"/>
  <c r="D48" i="12"/>
  <c r="D28" i="13"/>
  <c r="D45" i="13"/>
  <c r="D29" i="14"/>
  <c r="D27" i="15"/>
  <c r="D36" i="15"/>
  <c r="D44" i="15"/>
  <c r="D52" i="15"/>
  <c r="D42" i="16"/>
  <c r="D50" i="16"/>
  <c r="D54" i="16"/>
  <c r="D27" i="17"/>
  <c r="D46" i="17"/>
  <c r="D50" i="12"/>
  <c r="D49" i="13"/>
  <c r="D52" i="16"/>
  <c r="D29" i="17"/>
  <c r="D31" i="17"/>
  <c r="D50" i="17"/>
  <c r="D42" i="12"/>
  <c r="D29" i="13"/>
  <c r="D36" i="16"/>
  <c r="D44" i="16"/>
  <c r="D36" i="12"/>
  <c r="D44" i="12"/>
  <c r="D27" i="13"/>
  <c r="D37" i="13"/>
  <c r="D38" i="16"/>
  <c r="D46" i="16"/>
  <c r="D38" i="17"/>
  <c r="F20" i="4"/>
  <c r="F16" i="4"/>
  <c r="F12" i="4"/>
  <c r="F8" i="4"/>
  <c r="F6" i="4"/>
  <c r="F18" i="4"/>
  <c r="F14" i="4"/>
  <c r="F10" i="4"/>
  <c r="F4" i="4"/>
  <c r="H21" i="4"/>
  <c r="H22" i="4" s="1"/>
  <c r="J21" i="4"/>
  <c r="J22" i="4" s="1"/>
  <c r="F17" i="4"/>
  <c r="F13" i="4"/>
  <c r="F9" i="4"/>
  <c r="F5" i="4"/>
  <c r="F3" i="4"/>
  <c r="L21" i="16"/>
  <c r="L22" i="16" s="1"/>
  <c r="J21" i="16"/>
  <c r="J22" i="16" s="1"/>
  <c r="G21" i="17"/>
  <c r="G22" i="17" s="1"/>
  <c r="D37" i="17"/>
  <c r="D41" i="17"/>
  <c r="D45" i="17"/>
  <c r="D49" i="17"/>
  <c r="D35" i="17"/>
  <c r="D39" i="17"/>
  <c r="D43" i="17"/>
  <c r="D47" i="17"/>
  <c r="D51" i="17"/>
  <c r="D36" i="17"/>
  <c r="D40" i="17"/>
  <c r="D44" i="17"/>
  <c r="D48" i="17"/>
  <c r="D52" i="17"/>
  <c r="D27" i="16"/>
  <c r="D28" i="16"/>
  <c r="D37" i="16"/>
  <c r="D41" i="16"/>
  <c r="D45" i="16"/>
  <c r="D49" i="16"/>
  <c r="D31" i="16"/>
  <c r="D35" i="16"/>
  <c r="D39" i="16"/>
  <c r="D43" i="16"/>
  <c r="D47" i="16"/>
  <c r="D28" i="15"/>
  <c r="D37" i="15"/>
  <c r="D41" i="15"/>
  <c r="D45" i="15"/>
  <c r="D49" i="15"/>
  <c r="D29" i="15"/>
  <c r="D35" i="15"/>
  <c r="D39" i="15"/>
  <c r="D43" i="15"/>
  <c r="D47" i="15"/>
  <c r="D27" i="14"/>
  <c r="D28" i="14"/>
  <c r="D37" i="14"/>
  <c r="D41" i="14"/>
  <c r="D45" i="14"/>
  <c r="D49" i="14"/>
  <c r="D38" i="14"/>
  <c r="D42" i="14"/>
  <c r="D46" i="14"/>
  <c r="D50" i="14"/>
  <c r="D35" i="14"/>
  <c r="D39" i="14"/>
  <c r="D43" i="14"/>
  <c r="D47" i="14"/>
  <c r="D51" i="14"/>
  <c r="D36" i="14"/>
  <c r="D40" i="14"/>
  <c r="D44" i="14"/>
  <c r="D48" i="14"/>
  <c r="D52" i="14"/>
  <c r="D38" i="13"/>
  <c r="D42" i="13"/>
  <c r="D46" i="13"/>
  <c r="D50" i="13"/>
  <c r="D35" i="13"/>
  <c r="D39" i="13"/>
  <c r="D43" i="13"/>
  <c r="D47" i="13"/>
  <c r="D51" i="13"/>
  <c r="D36" i="13"/>
  <c r="D40" i="13"/>
  <c r="D44" i="13"/>
  <c r="D48" i="13"/>
  <c r="D52" i="13"/>
  <c r="D28" i="12"/>
  <c r="D37" i="12"/>
  <c r="D41" i="12"/>
  <c r="D45" i="12"/>
  <c r="D49" i="12"/>
  <c r="D29" i="12"/>
  <c r="D31" i="12"/>
  <c r="D35" i="12"/>
  <c r="D39" i="12"/>
  <c r="D43" i="12"/>
  <c r="D47" i="12"/>
  <c r="D51" i="12"/>
  <c r="D52" i="12"/>
  <c r="E22" i="15" l="1"/>
  <c r="F22" i="4"/>
  <c r="F21" i="4"/>
  <c r="F23" i="4" s="1"/>
  <c r="J30" i="11"/>
  <c r="K30" i="11" s="1"/>
  <c r="J23" i="11"/>
  <c r="K23" i="11" s="1"/>
  <c r="J21" i="11"/>
  <c r="K21" i="11" s="1"/>
  <c r="J19" i="11"/>
  <c r="K19" i="11" s="1"/>
  <c r="J17" i="11"/>
  <c r="J10" i="11"/>
  <c r="K10" i="11" s="1"/>
  <c r="J8" i="11"/>
  <c r="K8" i="11" s="1"/>
  <c r="K17" i="11"/>
  <c r="C21" i="2" l="1"/>
  <c r="C22" i="2" s="1"/>
  <c r="B21" i="2"/>
  <c r="B22" i="2" s="1"/>
  <c r="D21" i="2" l="1"/>
  <c r="D22" i="2" s="1"/>
  <c r="K21" i="4"/>
  <c r="K22" i="4" s="1"/>
  <c r="I21" i="4"/>
  <c r="I22" i="4" s="1"/>
  <c r="D59" i="4"/>
  <c r="D60" i="4" s="1"/>
  <c r="C59" i="4"/>
  <c r="C60" i="4" s="1"/>
  <c r="D53" i="4"/>
  <c r="D54" i="4" s="1"/>
  <c r="C53" i="4"/>
  <c r="C54" i="4" s="1"/>
  <c r="C31" i="4"/>
  <c r="D30" i="4"/>
  <c r="D31" i="4" s="1"/>
  <c r="C30" i="4"/>
  <c r="G21" i="4"/>
  <c r="G22" i="4" s="1"/>
  <c r="D21" i="4"/>
  <c r="D22" i="4" s="1"/>
  <c r="C21" i="4"/>
  <c r="C22" i="4" s="1"/>
  <c r="D45" i="4" l="1"/>
  <c r="D49" i="4"/>
  <c r="D41" i="4"/>
  <c r="D28" i="4"/>
  <c r="D27" i="4"/>
  <c r="D37" i="4"/>
  <c r="E21" i="4"/>
  <c r="E23" i="4" s="1"/>
  <c r="D29" i="4"/>
  <c r="D38" i="4"/>
  <c r="D42" i="4"/>
  <c r="D46" i="4"/>
  <c r="D50" i="4"/>
  <c r="D35" i="4"/>
  <c r="D39" i="4"/>
  <c r="D43" i="4"/>
  <c r="D47" i="4"/>
  <c r="D51" i="4"/>
  <c r="D36" i="4"/>
  <c r="D40" i="4"/>
  <c r="D44" i="4"/>
  <c r="D48" i="4"/>
  <c r="D52" i="4"/>
  <c r="E22" i="4" l="1"/>
  <c r="E5" i="2" l="1"/>
  <c r="E2" i="2" l="1"/>
  <c r="F2" i="2" s="1"/>
</calcChain>
</file>

<file path=xl/comments1.xml><?xml version="1.0" encoding="utf-8"?>
<comments xmlns="http://schemas.openxmlformats.org/spreadsheetml/2006/main">
  <authors>
    <author>TIA Michel</author>
  </authors>
  <commentList>
    <comment ref="B16" authorId="0">
      <text>
        <r>
          <rPr>
            <sz val="9"/>
            <color indexed="81"/>
            <rFont val="Tahoma"/>
            <family val="2"/>
          </rPr>
          <t>Distribution of NFI kits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Emergency shelter
</t>
        </r>
      </text>
    </comment>
    <comment ref="B17" authorId="0">
      <text>
        <r>
          <rPr>
            <sz val="9"/>
            <color indexed="81"/>
            <rFont val="Tahoma"/>
            <family val="2"/>
          </rPr>
          <t>NFI replenishment</t>
        </r>
      </text>
    </comment>
    <comment ref="C17" authorId="0">
      <text>
        <r>
          <rPr>
            <sz val="9"/>
            <color indexed="81"/>
            <rFont val="Tahoma"/>
            <family val="2"/>
          </rPr>
          <t>Tents replacement</t>
        </r>
      </text>
    </comment>
    <comment ref="C18" authorId="0">
      <text>
        <r>
          <rPr>
            <sz val="9"/>
            <color indexed="81"/>
            <rFont val="Tahoma"/>
            <family val="2"/>
          </rPr>
          <t>Shelter upgrade with concrete slabs</t>
        </r>
      </text>
    </comment>
    <comment ref="C19" authorId="0">
      <text>
        <r>
          <rPr>
            <sz val="9"/>
            <color indexed="81"/>
            <rFont val="Tahoma"/>
            <family val="2"/>
          </rPr>
          <t>Basic shelter repair / upgrade</t>
        </r>
      </text>
    </comment>
    <comment ref="C20" authorId="0">
      <text>
        <r>
          <rPr>
            <sz val="9"/>
            <color indexed="81"/>
            <rFont val="Tahoma"/>
            <family val="2"/>
          </rPr>
          <t xml:space="preserve">repair of heavily damaged
houses
</t>
        </r>
      </text>
    </comment>
  </commentList>
</comments>
</file>

<file path=xl/sharedStrings.xml><?xml version="1.0" encoding="utf-8"?>
<sst xmlns="http://schemas.openxmlformats.org/spreadsheetml/2006/main" count="1716" uniqueCount="143">
  <si>
    <t>IQ-G16</t>
  </si>
  <si>
    <t>Wassit</t>
  </si>
  <si>
    <t>IQ-G09</t>
  </si>
  <si>
    <t>Thi-Qar</t>
  </si>
  <si>
    <t>IQ-G05</t>
  </si>
  <si>
    <t>Sulaymaniyah</t>
  </si>
  <si>
    <t>IQ-G18</t>
  </si>
  <si>
    <t>Salah al-Din</t>
  </si>
  <si>
    <t>IQ-G04</t>
  </si>
  <si>
    <t>Qadissiya</t>
  </si>
  <si>
    <t>IQ-G15</t>
  </si>
  <si>
    <t>Ninewa</t>
  </si>
  <si>
    <t>IQ-G17</t>
  </si>
  <si>
    <t>Najaf</t>
  </si>
  <si>
    <t>IQ-G03</t>
  </si>
  <si>
    <t>Muthanna</t>
  </si>
  <si>
    <t>IQ-G14</t>
  </si>
  <si>
    <t>Missan</t>
  </si>
  <si>
    <t>IQ-G13</t>
  </si>
  <si>
    <t>Kirkuk</t>
  </si>
  <si>
    <t>IQ-G12</t>
  </si>
  <si>
    <t>Kerbala</t>
  </si>
  <si>
    <t>IQ-G11</t>
  </si>
  <si>
    <t>Erbil</t>
  </si>
  <si>
    <t>IQ-G10</t>
  </si>
  <si>
    <t>Diyala</t>
  </si>
  <si>
    <t>IQ-G08</t>
  </si>
  <si>
    <t>Dahuk</t>
  </si>
  <si>
    <t>IQ-G02</t>
  </si>
  <si>
    <t>Basrah</t>
  </si>
  <si>
    <t>IQ-G07</t>
  </si>
  <si>
    <t>Baghdad</t>
  </si>
  <si>
    <t>IQ-G06</t>
  </si>
  <si>
    <t>Babylon</t>
  </si>
  <si>
    <t>IQ-G01</t>
  </si>
  <si>
    <t>Anbar</t>
  </si>
  <si>
    <t>Full Response</t>
  </si>
  <si>
    <t>Second Line</t>
  </si>
  <si>
    <t>First Line</t>
  </si>
  <si>
    <t>Target</t>
  </si>
  <si>
    <t>Admin 1 Code</t>
  </si>
  <si>
    <t>Governerate</t>
  </si>
  <si>
    <t>PEOPLE IN NEED</t>
  </si>
  <si>
    <t>Total Individuals</t>
  </si>
  <si>
    <t>Total Households</t>
  </si>
  <si>
    <r>
      <t xml:space="preserve">Rest </t>
    </r>
    <r>
      <rPr>
        <b/>
        <sz val="10"/>
        <color theme="1"/>
        <rFont val="Arial"/>
        <family val="2"/>
      </rPr>
      <t>of Iraq</t>
    </r>
  </si>
  <si>
    <t>KRI</t>
  </si>
  <si>
    <t>Mosul</t>
  </si>
  <si>
    <t># People targeted</t>
  </si>
  <si>
    <t># of partners with approved projects in the HRP</t>
  </si>
  <si>
    <t>Financial requirements</t>
  </si>
  <si>
    <t>Cluster coordinator name and email address:</t>
  </si>
  <si>
    <t>Richard Evans</t>
  </si>
  <si>
    <t>coord.iraq@sheltercluster.org</t>
  </si>
  <si>
    <t>Cluster co-coordinator name and email address:</t>
  </si>
  <si>
    <t>Michael Gloeckle</t>
  </si>
  <si>
    <t>coord2.iraq@sheltercluster.org</t>
  </si>
  <si>
    <t>Total</t>
  </si>
  <si>
    <t>KR-I</t>
  </si>
  <si>
    <t>Rest of Iraq</t>
  </si>
  <si>
    <t>Mosul / Ninewa</t>
  </si>
  <si>
    <t>Objective 1 / 1st line response</t>
  </si>
  <si>
    <t>Objective 3 / Full response</t>
  </si>
  <si>
    <t>Objective 2 / 2nd line response</t>
  </si>
  <si>
    <t>NFI (ind.)</t>
  </si>
  <si>
    <t>Shelter (Ind.)</t>
  </si>
  <si>
    <t>Total (Ind.)</t>
  </si>
  <si>
    <t>Target per indicators as in 2017 HRP</t>
  </si>
  <si>
    <t>Total (HH.)</t>
  </si>
  <si>
    <t>Cluster Objective 1:</t>
  </si>
  <si>
    <t>Provide safe, appropriate emergency shelter and distribute critical life-saving non-food items to vulnerable populations in priority locations</t>
  </si>
  <si>
    <t>Supporting Strategic Objectives:</t>
  </si>
  <si>
    <t>SO1, SO2</t>
  </si>
  <si>
    <t>Indicator:</t>
  </si>
  <si>
    <t>Activities</t>
  </si>
  <si>
    <t>In Need</t>
  </si>
  <si>
    <t>Governorate</t>
  </si>
  <si>
    <t>Baseline</t>
  </si>
  <si>
    <t>HH/people</t>
  </si>
  <si>
    <t>Male</t>
  </si>
  <si>
    <t>Female</t>
  </si>
  <si>
    <t>Reached</t>
  </si>
  <si>
    <t>No of people supported through the provision of emergency shelter</t>
  </si>
  <si>
    <t>Provision of tents and emergency shelter kits</t>
  </si>
  <si>
    <t>IDPs, Returnees</t>
  </si>
  <si>
    <t>All governorates</t>
  </si>
  <si>
    <t>56,603/339,618</t>
  </si>
  <si>
    <t>No of people supported through of the distribution NFI kits</t>
  </si>
  <si>
    <t>Distributing non-food item kits (Mobile or Basic, Seasonal Top-up or clothing)</t>
  </si>
  <si>
    <t>IDPs, Returnees, Stayees, Hosts</t>
  </si>
  <si>
    <t>212,818/1,276,909</t>
  </si>
  <si>
    <t>Cluster Objective 2:</t>
  </si>
  <si>
    <t>Upgrade and repair basic shelters and replenish core household items for vulnerable populations.</t>
  </si>
  <si>
    <t>SO1, SO2, SO3</t>
  </si>
  <si>
    <t>No of people supported with tent replacements</t>
  </si>
  <si>
    <t>Replacing degraded and damaged tents</t>
  </si>
  <si>
    <t>IDPs</t>
  </si>
  <si>
    <t>6,944/41,664</t>
  </si>
  <si>
    <t>No of people supported with shelter upgrade with concrete slabs.</t>
  </si>
  <si>
    <t>Upgrading shelter plots (in existing camp)</t>
  </si>
  <si>
    <t>11,925/71,550</t>
  </si>
  <si>
    <t>No of people supported with basic shelter upgrades or repair</t>
  </si>
  <si>
    <t>Upgrade and repair basic shelters  for vulnerable populations</t>
  </si>
  <si>
    <t>23,899/143,394</t>
  </si>
  <si>
    <t>No of people supported with replenishment of core household items</t>
  </si>
  <si>
    <t>Replenish core household items for vulnerable populations</t>
  </si>
  <si>
    <t>8,976/53,856</t>
  </si>
  <si>
    <t>Cluster Objective 3:</t>
  </si>
  <si>
    <t>Expand safe, dignified shelter and housing options for vulnerable households in accordance with agreed standards.</t>
  </si>
  <si>
    <t>SO2, SO3</t>
  </si>
  <si>
    <t>No of people supported with safe, dignified shelter and housing options through repair of heavily damaged houses</t>
  </si>
  <si>
    <t>Upgrade or Repair Unfinished and Abandoned / War Damaged buildings</t>
  </si>
  <si>
    <t> All governorates</t>
  </si>
  <si>
    <t>6,608/39,648</t>
  </si>
  <si>
    <t xml:space="preserve">Monitoring Matrix | Objectives Indicators  </t>
  </si>
  <si>
    <r>
      <t xml:space="preserve">These are Cluster overall achievements per objectives and indicators. </t>
    </r>
    <r>
      <rPr>
        <sz val="11"/>
        <color rgb="FFC00000"/>
        <rFont val="Calibri"/>
        <family val="2"/>
        <scheme val="minor"/>
      </rPr>
      <t xml:space="preserve">However major gaps to be considered remain at governorate level. </t>
    </r>
  </si>
  <si>
    <t>HH</t>
  </si>
  <si>
    <t>Ind.</t>
  </si>
  <si>
    <t>Update</t>
  </si>
  <si>
    <t>NFI</t>
  </si>
  <si>
    <t>Shelter</t>
  </si>
  <si>
    <t>NFI3</t>
  </si>
  <si>
    <t>Emergency NFI</t>
  </si>
  <si>
    <t>Emergency Shelter</t>
  </si>
  <si>
    <t>Cluster response since Jan.17</t>
  </si>
  <si>
    <t xml:space="preserve">NFI Replenishment </t>
  </si>
  <si>
    <t>Shelter Upgrade/Repair</t>
  </si>
  <si>
    <t>Shelter and housing options</t>
  </si>
  <si>
    <t>Cluster response Jan.17</t>
  </si>
  <si>
    <t>Cluster response Feb.17</t>
  </si>
  <si>
    <t>Cluster response Mar.17</t>
  </si>
  <si>
    <t>Cluster response Apr.17</t>
  </si>
  <si>
    <t>Cluster response Mai.17</t>
  </si>
  <si>
    <t>Cluster response Jun.17</t>
  </si>
  <si>
    <t>Coverage against target</t>
  </si>
  <si>
    <t>Cluster response Jul.17</t>
  </si>
  <si>
    <t>Summary Since Jan.17</t>
  </si>
  <si>
    <t>Cluster response Aug.17</t>
  </si>
  <si>
    <t xml:space="preserve">CONSOLIDATED - 2017 PMR </t>
  </si>
  <si>
    <t>Cluster response Sept.17</t>
  </si>
  <si>
    <t xml:space="preserve">Significant increase due to </t>
  </si>
  <si>
    <t>MoDM interventions in Esian, Bardarash, Chamishku, Kabarto 1&amp;2 and Mamilian Camps</t>
  </si>
  <si>
    <t>Upgrade or Repair (Unfinished and Abandoned / War Damaged)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</si>
</sst>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-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indexed="8"/>
      <name val="Calibri"/>
    </font>
    <font>
      <sz val="11"/>
      <color theme="1"/>
      <name val="Calibri"/>
      <scheme val="minor"/>
    </font>
    <font>
      <u/>
      <sz val="18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B8CCE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2" borderId="0" xfId="0" applyFont="1" applyFill="1" applyAlignment="1">
      <alignment horizontal="left"/>
    </xf>
    <xf numFmtId="0" fontId="4" fillId="0" borderId="1" xfId="2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1" xfId="1" applyNumberFormat="1" applyFont="1" applyBorder="1" applyAlignment="1">
      <alignment horizontal="right" vertical="top"/>
    </xf>
    <xf numFmtId="164" fontId="1" fillId="0" borderId="1" xfId="1" applyNumberFormat="1" applyFont="1" applyBorder="1" applyAlignment="1">
      <alignment horizontal="right" vertical="top"/>
    </xf>
    <xf numFmtId="164" fontId="0" fillId="0" borderId="0" xfId="0" applyNumberFormat="1" applyFont="1"/>
    <xf numFmtId="0" fontId="4" fillId="3" borderId="2" xfId="2" applyFont="1" applyFill="1" applyBorder="1" applyAlignment="1">
      <alignment horizontal="left" wrapText="1"/>
    </xf>
    <xf numFmtId="164" fontId="0" fillId="3" borderId="2" xfId="1" applyNumberFormat="1" applyFont="1" applyFill="1" applyBorder="1" applyAlignment="1">
      <alignment horizontal="right" vertical="top"/>
    </xf>
    <xf numFmtId="0" fontId="4" fillId="4" borderId="1" xfId="2" applyFont="1" applyFill="1" applyBorder="1" applyAlignment="1">
      <alignment horizontal="left" wrapText="1"/>
    </xf>
    <xf numFmtId="164" fontId="0" fillId="4" borderId="1" xfId="1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3" borderId="5" xfId="2" applyNumberFormat="1" applyFont="1" applyFill="1" applyBorder="1" applyAlignment="1">
      <alignment horizontal="left" wrapText="1"/>
    </xf>
    <xf numFmtId="164" fontId="0" fillId="3" borderId="5" xfId="1" applyNumberFormat="1" applyFont="1" applyFill="1" applyBorder="1" applyAlignment="1">
      <alignment horizontal="right" vertical="top"/>
    </xf>
    <xf numFmtId="0" fontId="4" fillId="4" borderId="1" xfId="2" applyNumberFormat="1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1" xfId="2" applyNumberFormat="1" applyFont="1" applyBorder="1" applyAlignment="1">
      <alignment horizontal="left" wrapText="1"/>
    </xf>
    <xf numFmtId="164" fontId="12" fillId="0" borderId="1" xfId="1" applyNumberFormat="1" applyFont="1" applyBorder="1" applyAlignment="1">
      <alignment horizontal="right" vertical="top"/>
    </xf>
    <xf numFmtId="0" fontId="13" fillId="2" borderId="4" xfId="0" applyFont="1" applyFill="1" applyBorder="1" applyAlignment="1">
      <alignment horizontal="left" vertical="center"/>
    </xf>
    <xf numFmtId="0" fontId="11" fillId="5" borderId="1" xfId="2" applyNumberFormat="1" applyFont="1" applyFill="1" applyBorder="1" applyAlignment="1">
      <alignment horizontal="left" wrapText="1"/>
    </xf>
    <xf numFmtId="164" fontId="12" fillId="5" borderId="1" xfId="1" applyNumberFormat="1" applyFont="1" applyFill="1" applyBorder="1" applyAlignment="1">
      <alignment horizontal="right" vertical="top"/>
    </xf>
    <xf numFmtId="0" fontId="11" fillId="0" borderId="1" xfId="2" applyFont="1" applyFill="1" applyBorder="1" applyAlignment="1">
      <alignment horizontal="left" wrapText="1"/>
    </xf>
    <xf numFmtId="0" fontId="14" fillId="5" borderId="1" xfId="2" applyNumberFormat="1" applyFont="1" applyFill="1" applyBorder="1" applyAlignment="1">
      <alignment horizontal="left" wrapText="1"/>
    </xf>
    <xf numFmtId="164" fontId="15" fillId="5" borderId="1" xfId="1" applyNumberFormat="1" applyFont="1" applyFill="1" applyBorder="1" applyAlignment="1">
      <alignment horizontal="right" vertical="top"/>
    </xf>
    <xf numFmtId="0" fontId="16" fillId="0" borderId="1" xfId="2" applyFont="1" applyFill="1" applyBorder="1" applyAlignment="1">
      <alignment horizontal="left" wrapText="1"/>
    </xf>
    <xf numFmtId="164" fontId="17" fillId="0" borderId="1" xfId="1" applyNumberFormat="1" applyFont="1" applyBorder="1" applyAlignment="1">
      <alignment horizontal="right" vertical="top"/>
    </xf>
    <xf numFmtId="0" fontId="17" fillId="0" borderId="0" xfId="0" applyFont="1" applyAlignment="1">
      <alignment horizontal="left"/>
    </xf>
    <xf numFmtId="0" fontId="16" fillId="0" borderId="1" xfId="2" applyNumberFormat="1" applyFont="1" applyBorder="1" applyAlignment="1">
      <alignment horizontal="left" wrapText="1"/>
    </xf>
    <xf numFmtId="0" fontId="16" fillId="5" borderId="1" xfId="2" applyNumberFormat="1" applyFont="1" applyFill="1" applyBorder="1" applyAlignment="1">
      <alignment horizontal="left" wrapText="1"/>
    </xf>
    <xf numFmtId="164" fontId="17" fillId="5" borderId="1" xfId="1" applyNumberFormat="1" applyFont="1" applyFill="1" applyBorder="1" applyAlignment="1">
      <alignment horizontal="right" vertical="top"/>
    </xf>
    <xf numFmtId="0" fontId="16" fillId="0" borderId="2" xfId="2" applyFont="1" applyFill="1" applyBorder="1" applyAlignment="1">
      <alignment horizontal="left" wrapText="1"/>
    </xf>
    <xf numFmtId="164" fontId="17" fillId="0" borderId="2" xfId="1" applyNumberFormat="1" applyFont="1" applyBorder="1" applyAlignment="1">
      <alignment horizontal="right" vertical="top"/>
    </xf>
    <xf numFmtId="0" fontId="16" fillId="0" borderId="5" xfId="2" applyNumberFormat="1" applyFont="1" applyBorder="1" applyAlignment="1">
      <alignment horizontal="left" wrapText="1"/>
    </xf>
    <xf numFmtId="164" fontId="17" fillId="0" borderId="5" xfId="1" applyNumberFormat="1" applyFont="1" applyBorder="1" applyAlignment="1">
      <alignment horizontal="right" vertical="top"/>
    </xf>
    <xf numFmtId="0" fontId="18" fillId="0" borderId="1" xfId="2" applyFont="1" applyFill="1" applyBorder="1" applyAlignment="1">
      <alignment horizontal="left" wrapText="1"/>
    </xf>
    <xf numFmtId="164" fontId="19" fillId="0" borderId="1" xfId="1" applyNumberFormat="1" applyFont="1" applyBorder="1" applyAlignment="1">
      <alignment horizontal="right" vertical="top"/>
    </xf>
    <xf numFmtId="0" fontId="17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6" fillId="6" borderId="1" xfId="0" applyFont="1" applyFill="1" applyBorder="1" applyAlignment="1">
      <alignment horizontal="left" vertical="center" wrapText="1"/>
    </xf>
    <xf numFmtId="0" fontId="7" fillId="0" borderId="2" xfId="0" applyFont="1" applyBorder="1"/>
    <xf numFmtId="0" fontId="6" fillId="0" borderId="0" xfId="0" applyFont="1"/>
    <xf numFmtId="3" fontId="20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/>
    <xf numFmtId="0" fontId="6" fillId="0" borderId="6" xfId="0" applyFont="1" applyBorder="1"/>
    <xf numFmtId="6" fontId="21" fillId="0" borderId="1" xfId="0" applyNumberFormat="1" applyFont="1" applyBorder="1" applyAlignment="1">
      <alignment horizontal="right" vertical="center" wrapText="1"/>
    </xf>
    <xf numFmtId="0" fontId="6" fillId="0" borderId="7" xfId="0" applyFont="1" applyBorder="1"/>
    <xf numFmtId="0" fontId="6" fillId="3" borderId="0" xfId="0" applyFont="1" applyFill="1"/>
    <xf numFmtId="0" fontId="6" fillId="8" borderId="0" xfId="0" applyFont="1" applyFill="1"/>
    <xf numFmtId="0" fontId="6" fillId="9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/>
    <xf numFmtId="164" fontId="7" fillId="4" borderId="0" xfId="0" applyNumberFormat="1" applyFont="1" applyFill="1"/>
    <xf numFmtId="0" fontId="7" fillId="0" borderId="1" xfId="0" applyFont="1" applyBorder="1"/>
    <xf numFmtId="164" fontId="7" fillId="0" borderId="1" xfId="1" applyNumberFormat="1" applyFont="1" applyBorder="1"/>
    <xf numFmtId="0" fontId="7" fillId="0" borderId="9" xfId="0" applyFont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right" vertical="center"/>
    </xf>
    <xf numFmtId="164" fontId="6" fillId="9" borderId="9" xfId="1" applyNumberFormat="1" applyFont="1" applyFill="1" applyBorder="1" applyAlignment="1">
      <alignment horizontal="right" vertical="center"/>
    </xf>
    <xf numFmtId="164" fontId="6" fillId="8" borderId="9" xfId="1" applyNumberFormat="1" applyFont="1" applyFill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right" vertical="center"/>
    </xf>
    <xf numFmtId="164" fontId="6" fillId="9" borderId="6" xfId="1" applyNumberFormat="1" applyFont="1" applyFill="1" applyBorder="1" applyAlignment="1">
      <alignment horizontal="right" vertical="center"/>
    </xf>
    <xf numFmtId="164" fontId="6" fillId="8" borderId="6" xfId="1" applyNumberFormat="1" applyFont="1" applyFill="1" applyBorder="1" applyAlignment="1">
      <alignment horizontal="right" vertical="center"/>
    </xf>
    <xf numFmtId="164" fontId="6" fillId="0" borderId="7" xfId="1" applyNumberFormat="1" applyFont="1" applyBorder="1" applyAlignment="1">
      <alignment horizontal="right" vertical="center"/>
    </xf>
    <xf numFmtId="164" fontId="6" fillId="0" borderId="8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0" fontId="6" fillId="9" borderId="13" xfId="0" applyFont="1" applyFill="1" applyBorder="1"/>
    <xf numFmtId="164" fontId="6" fillId="9" borderId="8" xfId="1" applyNumberFormat="1" applyFont="1" applyFill="1" applyBorder="1" applyAlignment="1">
      <alignment horizontal="right" vertical="center"/>
    </xf>
    <xf numFmtId="164" fontId="6" fillId="9" borderId="2" xfId="1" applyNumberFormat="1" applyFont="1" applyFill="1" applyBorder="1" applyAlignment="1">
      <alignment horizontal="right" vertical="center"/>
    </xf>
    <xf numFmtId="0" fontId="6" fillId="9" borderId="14" xfId="0" applyFont="1" applyFill="1" applyBorder="1"/>
    <xf numFmtId="164" fontId="6" fillId="9" borderId="10" xfId="1" applyNumberFormat="1" applyFont="1" applyFill="1" applyBorder="1" applyAlignment="1">
      <alignment horizontal="right" vertical="center"/>
    </xf>
    <xf numFmtId="164" fontId="6" fillId="9" borderId="7" xfId="1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vertical="center"/>
    </xf>
    <xf numFmtId="0" fontId="24" fillId="11" borderId="1" xfId="0" applyFont="1" applyFill="1" applyBorder="1" applyAlignment="1">
      <alignment vertical="center" wrapText="1"/>
    </xf>
    <xf numFmtId="0" fontId="24" fillId="1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164" fontId="0" fillId="0" borderId="0" xfId="1" applyNumberFormat="1" applyFont="1"/>
    <xf numFmtId="0" fontId="24" fillId="11" borderId="11" xfId="0" applyFont="1" applyFill="1" applyBorder="1" applyAlignment="1">
      <alignment vertical="center" wrapText="1"/>
    </xf>
    <xf numFmtId="0" fontId="24" fillId="11" borderId="15" xfId="0" applyFont="1" applyFill="1" applyBorder="1" applyAlignment="1">
      <alignment vertical="center" wrapText="1"/>
    </xf>
    <xf numFmtId="0" fontId="24" fillId="11" borderId="12" xfId="0" applyFont="1" applyFill="1" applyBorder="1" applyAlignment="1">
      <alignment vertical="center" wrapText="1"/>
    </xf>
    <xf numFmtId="0" fontId="25" fillId="0" borderId="0" xfId="0" applyFont="1"/>
    <xf numFmtId="15" fontId="25" fillId="0" borderId="0" xfId="0" applyNumberFormat="1" applyFont="1"/>
    <xf numFmtId="0" fontId="24" fillId="10" borderId="1" xfId="0" applyFont="1" applyFill="1" applyBorder="1" applyAlignment="1">
      <alignment vertical="center" wrapText="1"/>
    </xf>
    <xf numFmtId="0" fontId="24" fillId="10" borderId="1" xfId="0" applyFont="1" applyFill="1" applyBorder="1" applyAlignment="1">
      <alignment vertical="center"/>
    </xf>
    <xf numFmtId="164" fontId="0" fillId="0" borderId="1" xfId="1" applyNumberFormat="1" applyFont="1" applyBorder="1" applyAlignment="1">
      <alignment horizontal="left"/>
    </xf>
    <xf numFmtId="164" fontId="0" fillId="0" borderId="7" xfId="1" applyNumberFormat="1" applyFont="1" applyBorder="1" applyAlignment="1">
      <alignment horizontal="left"/>
    </xf>
    <xf numFmtId="164" fontId="0" fillId="0" borderId="7" xfId="1" applyNumberFormat="1" applyFont="1" applyBorder="1" applyAlignment="1">
      <alignment horizontal="right" vertical="top"/>
    </xf>
    <xf numFmtId="0" fontId="26" fillId="2" borderId="1" xfId="0" applyFont="1" applyFill="1" applyBorder="1" applyAlignment="1">
      <alignment horizontal="left" vertical="top"/>
    </xf>
    <xf numFmtId="0" fontId="29" fillId="0" borderId="0" xfId="0" applyFont="1" applyAlignment="1">
      <alignment horizontal="left"/>
    </xf>
    <xf numFmtId="0" fontId="28" fillId="2" borderId="0" xfId="0" applyFont="1" applyFill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9" fontId="31" fillId="12" borderId="1" xfId="0" applyNumberFormat="1" applyFont="1" applyFill="1" applyBorder="1" applyAlignment="1">
      <alignment horizontal="right" vertical="top"/>
    </xf>
    <xf numFmtId="0" fontId="4" fillId="4" borderId="2" xfId="2" applyFont="1" applyFill="1" applyBorder="1" applyAlignment="1">
      <alignment horizontal="left" wrapText="1"/>
    </xf>
    <xf numFmtId="164" fontId="0" fillId="4" borderId="2" xfId="1" applyNumberFormat="1" applyFont="1" applyFill="1" applyBorder="1" applyAlignment="1">
      <alignment horizontal="right" vertical="top"/>
    </xf>
    <xf numFmtId="0" fontId="30" fillId="12" borderId="11" xfId="0" applyNumberFormat="1" applyFont="1" applyFill="1" applyBorder="1" applyAlignment="1" applyProtection="1">
      <alignment horizontal="left" wrapText="1"/>
    </xf>
    <xf numFmtId="0" fontId="30" fillId="12" borderId="15" xfId="0" applyNumberFormat="1" applyFont="1" applyFill="1" applyBorder="1" applyAlignment="1" applyProtection="1">
      <alignment horizontal="left" wrapText="1"/>
    </xf>
    <xf numFmtId="164" fontId="31" fillId="12" borderId="15" xfId="0" applyNumberFormat="1" applyFont="1" applyFill="1" applyBorder="1" applyAlignment="1">
      <alignment horizontal="right" vertical="top"/>
    </xf>
    <xf numFmtId="0" fontId="31" fillId="12" borderId="15" xfId="0" applyFont="1" applyFill="1" applyBorder="1" applyAlignment="1">
      <alignment horizontal="right" vertical="top"/>
    </xf>
    <xf numFmtId="0" fontId="31" fillId="12" borderId="12" xfId="0" applyFont="1" applyFill="1" applyBorder="1" applyAlignment="1">
      <alignment horizontal="left"/>
    </xf>
    <xf numFmtId="0" fontId="24" fillId="10" borderId="1" xfId="0" applyFont="1" applyFill="1" applyBorder="1" applyAlignment="1">
      <alignment vertical="center"/>
    </xf>
    <xf numFmtId="0" fontId="24" fillId="10" borderId="1" xfId="0" applyFont="1" applyFill="1" applyBorder="1" applyAlignment="1">
      <alignment vertical="center" wrapText="1"/>
    </xf>
    <xf numFmtId="166" fontId="32" fillId="2" borderId="0" xfId="0" applyNumberFormat="1" applyFont="1" applyFill="1" applyBorder="1" applyAlignment="1">
      <alignment horizontal="left" vertical="top"/>
    </xf>
    <xf numFmtId="6" fontId="7" fillId="0" borderId="1" xfId="0" applyNumberFormat="1" applyFont="1" applyBorder="1"/>
    <xf numFmtId="0" fontId="4" fillId="12" borderId="11" xfId="0" applyNumberFormat="1" applyFont="1" applyFill="1" applyBorder="1" applyAlignment="1" applyProtection="1">
      <alignment horizontal="left" wrapText="1"/>
    </xf>
    <xf numFmtId="0" fontId="4" fillId="12" borderId="15" xfId="0" applyNumberFormat="1" applyFont="1" applyFill="1" applyBorder="1" applyAlignment="1" applyProtection="1">
      <alignment horizontal="left" wrapText="1"/>
    </xf>
    <xf numFmtId="164" fontId="0" fillId="12" borderId="15" xfId="0" applyNumberFormat="1" applyFont="1" applyFill="1" applyBorder="1" applyAlignment="1">
      <alignment horizontal="right" vertical="top"/>
    </xf>
    <xf numFmtId="9" fontId="0" fillId="12" borderId="1" xfId="0" applyNumberFormat="1" applyFont="1" applyFill="1" applyBorder="1" applyAlignment="1">
      <alignment horizontal="right" vertical="top"/>
    </xf>
    <xf numFmtId="0" fontId="0" fillId="12" borderId="15" xfId="0" applyFont="1" applyFill="1" applyBorder="1" applyAlignment="1">
      <alignment horizontal="right" vertical="top"/>
    </xf>
    <xf numFmtId="0" fontId="0" fillId="12" borderId="12" xfId="0" applyFont="1" applyFill="1" applyBorder="1" applyAlignment="1">
      <alignment horizontal="left"/>
    </xf>
    <xf numFmtId="0" fontId="24" fillId="10" borderId="1" xfId="0" applyFont="1" applyFill="1" applyBorder="1" applyAlignment="1">
      <alignment vertical="center" wrapText="1"/>
    </xf>
    <xf numFmtId="0" fontId="24" fillId="10" borderId="1" xfId="0" applyFont="1" applyFill="1" applyBorder="1" applyAlignment="1">
      <alignment vertical="center"/>
    </xf>
    <xf numFmtId="0" fontId="33" fillId="12" borderId="11" xfId="0" applyNumberFormat="1" applyFont="1" applyFill="1" applyBorder="1" applyAlignment="1" applyProtection="1">
      <alignment horizontal="left" wrapText="1"/>
    </xf>
    <xf numFmtId="0" fontId="33" fillId="12" borderId="15" xfId="0" applyNumberFormat="1" applyFont="1" applyFill="1" applyBorder="1" applyAlignment="1" applyProtection="1">
      <alignment horizontal="left" wrapText="1"/>
    </xf>
    <xf numFmtId="164" fontId="34" fillId="12" borderId="15" xfId="0" applyNumberFormat="1" applyFont="1" applyFill="1" applyBorder="1" applyAlignment="1">
      <alignment horizontal="right" vertical="top"/>
    </xf>
    <xf numFmtId="9" fontId="34" fillId="12" borderId="1" xfId="0" applyNumberFormat="1" applyFont="1" applyFill="1" applyBorder="1" applyAlignment="1">
      <alignment horizontal="right" vertical="top"/>
    </xf>
    <xf numFmtId="0" fontId="34" fillId="12" borderId="15" xfId="0" applyFont="1" applyFill="1" applyBorder="1" applyAlignment="1">
      <alignment horizontal="right" vertical="top"/>
    </xf>
    <xf numFmtId="0" fontId="34" fillId="12" borderId="12" xfId="0" applyFont="1" applyFill="1" applyBorder="1" applyAlignment="1">
      <alignment horizontal="left"/>
    </xf>
    <xf numFmtId="0" fontId="24" fillId="10" borderId="1" xfId="0" applyFont="1" applyFill="1" applyBorder="1" applyAlignment="1">
      <alignment vertical="center"/>
    </xf>
    <xf numFmtId="0" fontId="24" fillId="10" borderId="1" xfId="0" applyFont="1" applyFill="1" applyBorder="1" applyAlignment="1">
      <alignment vertical="center" wrapText="1"/>
    </xf>
    <xf numFmtId="0" fontId="35" fillId="0" borderId="0" xfId="0" applyFont="1"/>
    <xf numFmtId="0" fontId="24" fillId="10" borderId="1" xfId="0" applyFont="1" applyFill="1" applyBorder="1" applyAlignment="1">
      <alignment vertical="center"/>
    </xf>
    <xf numFmtId="0" fontId="24" fillId="10" borderId="1" xfId="0" applyFont="1" applyFill="1" applyBorder="1" applyAlignment="1">
      <alignment vertical="center" wrapText="1"/>
    </xf>
    <xf numFmtId="166" fontId="37" fillId="2" borderId="0" xfId="0" applyNumberFormat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vertical="center"/>
    </xf>
    <xf numFmtId="0" fontId="24" fillId="10" borderId="1" xfId="0" applyFont="1" applyFill="1" applyBorder="1" applyAlignment="1">
      <alignment vertical="center" wrapText="1"/>
    </xf>
    <xf numFmtId="0" fontId="24" fillId="10" borderId="2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2" xfId="0" applyFont="1" applyFill="1" applyBorder="1" applyAlignment="1">
      <alignment vertical="center" wrapText="1"/>
    </xf>
    <xf numFmtId="0" fontId="24" fillId="10" borderId="7" xfId="0" applyFont="1" applyFill="1" applyBorder="1" applyAlignment="1">
      <alignment vertical="center" wrapText="1"/>
    </xf>
    <xf numFmtId="9" fontId="24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24" fillId="8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24" fillId="8" borderId="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0" fillId="8" borderId="2" xfId="0" applyNumberFormat="1" applyFont="1" applyFill="1" applyBorder="1" applyAlignment="1">
      <alignment horizontal="right" vertical="center" wrapText="1"/>
    </xf>
    <xf numFmtId="3" fontId="0" fillId="8" borderId="7" xfId="0" applyNumberFormat="1" applyFont="1" applyFill="1" applyBorder="1" applyAlignment="1">
      <alignment horizontal="right" vertical="center" wrapText="1"/>
    </xf>
    <xf numFmtId="164" fontId="0" fillId="8" borderId="2" xfId="1" applyNumberFormat="1" applyFont="1" applyFill="1" applyBorder="1" applyAlignment="1">
      <alignment horizontal="right" vertical="center" wrapText="1"/>
    </xf>
    <xf numFmtId="164" fontId="0" fillId="8" borderId="7" xfId="1" applyNumberFormat="1" applyFont="1" applyFill="1" applyBorder="1" applyAlignment="1">
      <alignment horizontal="right" vertical="center" wrapText="1"/>
    </xf>
    <xf numFmtId="165" fontId="0" fillId="8" borderId="2" xfId="4" applyNumberFormat="1" applyFont="1" applyFill="1" applyBorder="1" applyAlignment="1">
      <alignment horizontal="right" vertical="center"/>
    </xf>
    <xf numFmtId="165" fontId="0" fillId="8" borderId="7" xfId="4" applyNumberFormat="1" applyFont="1" applyFill="1" applyBorder="1" applyAlignment="1">
      <alignment horizontal="right" vertical="center"/>
    </xf>
    <xf numFmtId="165" fontId="12" fillId="8" borderId="2" xfId="4" applyNumberFormat="1" applyFont="1" applyFill="1" applyBorder="1" applyAlignment="1">
      <alignment horizontal="right" vertical="center"/>
    </xf>
    <xf numFmtId="165" fontId="12" fillId="8" borderId="7" xfId="4" applyNumberFormat="1" applyFont="1" applyFill="1" applyBorder="1" applyAlignment="1">
      <alignment horizontal="right" vertical="center"/>
    </xf>
    <xf numFmtId="164" fontId="0" fillId="8" borderId="24" xfId="1" applyNumberFormat="1" applyFont="1" applyFill="1" applyBorder="1" applyAlignment="1">
      <alignment horizontal="right" vertical="center" wrapText="1"/>
    </xf>
    <xf numFmtId="164" fontId="0" fillId="8" borderId="26" xfId="1" applyNumberFormat="1" applyFont="1" applyFill="1" applyBorder="1" applyAlignment="1">
      <alignment horizontal="right" vertical="center" wrapText="1"/>
    </xf>
    <xf numFmtId="164" fontId="0" fillId="8" borderId="27" xfId="1" applyNumberFormat="1" applyFont="1" applyFill="1" applyBorder="1" applyAlignment="1">
      <alignment horizontal="right" vertical="center" wrapText="1"/>
    </xf>
    <xf numFmtId="165" fontId="12" fillId="8" borderId="22" xfId="4" applyNumberFormat="1" applyFont="1" applyFill="1" applyBorder="1" applyAlignment="1">
      <alignment horizontal="right" vertical="center"/>
    </xf>
    <xf numFmtId="165" fontId="12" fillId="8" borderId="28" xfId="4" applyNumberFormat="1" applyFont="1" applyFill="1" applyBorder="1" applyAlignment="1">
      <alignment horizontal="right" vertical="center"/>
    </xf>
    <xf numFmtId="164" fontId="0" fillId="8" borderId="25" xfId="1" applyNumberFormat="1" applyFont="1" applyFill="1" applyBorder="1" applyAlignment="1">
      <alignment horizontal="right" vertical="center" wrapText="1"/>
    </xf>
    <xf numFmtId="165" fontId="12" fillId="8" borderId="23" xfId="4" applyNumberFormat="1" applyFont="1" applyFill="1" applyBorder="1" applyAlignment="1">
      <alignment horizontal="right" vertical="center"/>
    </xf>
    <xf numFmtId="15" fontId="19" fillId="0" borderId="16" xfId="0" applyNumberFormat="1" applyFont="1" applyBorder="1" applyAlignment="1">
      <alignment horizontal="center"/>
    </xf>
    <xf numFmtId="15" fontId="19" fillId="0" borderId="17" xfId="0" applyNumberFormat="1" applyFont="1" applyBorder="1" applyAlignment="1">
      <alignment horizontal="center"/>
    </xf>
    <xf numFmtId="15" fontId="19" fillId="0" borderId="18" xfId="0" applyNumberFormat="1" applyFont="1" applyBorder="1" applyAlignment="1">
      <alignment horizontal="center"/>
    </xf>
    <xf numFmtId="0" fontId="24" fillId="11" borderId="19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24" fillId="8" borderId="21" xfId="0" applyFont="1" applyFill="1" applyBorder="1" applyAlignment="1">
      <alignment vertical="center" wrapText="1"/>
    </xf>
    <xf numFmtId="0" fontId="24" fillId="8" borderId="22" xfId="0" applyFont="1" applyFill="1" applyBorder="1" applyAlignment="1">
      <alignment horizontal="left" vertical="center" wrapText="1"/>
    </xf>
    <xf numFmtId="0" fontId="24" fillId="8" borderId="23" xfId="0" applyFont="1" applyFill="1" applyBorder="1" applyAlignment="1">
      <alignment horizontal="left" vertical="center" wrapText="1"/>
    </xf>
    <xf numFmtId="165" fontId="0" fillId="8" borderId="22" xfId="4" applyNumberFormat="1" applyFont="1" applyFill="1" applyBorder="1" applyAlignment="1">
      <alignment horizontal="right" vertical="center"/>
    </xf>
    <xf numFmtId="165" fontId="0" fillId="8" borderId="23" xfId="4" applyNumberFormat="1" applyFont="1" applyFill="1" applyBorder="1" applyAlignment="1">
      <alignment horizontal="right" vertical="center"/>
    </xf>
    <xf numFmtId="165" fontId="17" fillId="8" borderId="22" xfId="4" applyNumberFormat="1" applyFont="1" applyFill="1" applyBorder="1" applyAlignment="1">
      <alignment horizontal="right" vertical="center"/>
    </xf>
    <xf numFmtId="165" fontId="17" fillId="8" borderId="23" xfId="4" applyNumberFormat="1" applyFont="1" applyFill="1" applyBorder="1" applyAlignment="1">
      <alignment horizontal="right" vertical="center"/>
    </xf>
    <xf numFmtId="165" fontId="0" fillId="8" borderId="28" xfId="4" applyNumberFormat="1" applyFont="1" applyFill="1" applyBorder="1" applyAlignment="1">
      <alignment horizontal="right" vertical="center"/>
    </xf>
    <xf numFmtId="3" fontId="0" fillId="8" borderId="24" xfId="0" applyNumberFormat="1" applyFont="1" applyFill="1" applyBorder="1" applyAlignment="1">
      <alignment horizontal="right" vertical="center" wrapText="1"/>
    </xf>
    <xf numFmtId="3" fontId="0" fillId="8" borderId="25" xfId="0" applyNumberFormat="1" applyFont="1" applyFill="1" applyBorder="1" applyAlignment="1">
      <alignment horizontal="right" vertical="center" wrapText="1"/>
    </xf>
    <xf numFmtId="3" fontId="0" fillId="8" borderId="26" xfId="0" applyNumberFormat="1" applyFont="1" applyFill="1" applyBorder="1" applyAlignment="1">
      <alignment horizontal="right" vertical="center" wrapText="1"/>
    </xf>
    <xf numFmtId="165" fontId="17" fillId="8" borderId="28" xfId="4" applyNumberFormat="1" applyFont="1" applyFill="1" applyBorder="1" applyAlignment="1">
      <alignment horizontal="right" vertical="center"/>
    </xf>
    <xf numFmtId="0" fontId="36" fillId="8" borderId="22" xfId="0" applyFont="1" applyFill="1" applyBorder="1" applyAlignment="1">
      <alignment horizontal="left" vertical="center" wrapText="1"/>
    </xf>
    <xf numFmtId="0" fontId="36" fillId="8" borderId="23" xfId="0" applyFont="1" applyFill="1" applyBorder="1" applyAlignment="1">
      <alignment horizontal="left" vertical="center" wrapText="1"/>
    </xf>
    <xf numFmtId="3" fontId="0" fillId="8" borderId="24" xfId="0" applyNumberFormat="1" applyFont="1" applyFill="1" applyBorder="1" applyAlignment="1">
      <alignment horizontal="center" vertical="center" wrapText="1"/>
    </xf>
    <xf numFmtId="3" fontId="0" fillId="8" borderId="25" xfId="0" applyNumberFormat="1" applyFont="1" applyFill="1" applyBorder="1" applyAlignment="1">
      <alignment horizontal="center" vertical="center" wrapText="1"/>
    </xf>
    <xf numFmtId="164" fontId="0" fillId="8" borderId="2" xfId="1" applyNumberFormat="1" applyFont="1" applyFill="1" applyBorder="1" applyAlignment="1">
      <alignment horizontal="center" vertical="center" wrapText="1"/>
    </xf>
    <xf numFmtId="164" fontId="0" fillId="8" borderId="7" xfId="1" applyNumberFormat="1" applyFont="1" applyFill="1" applyBorder="1" applyAlignment="1">
      <alignment horizontal="center" vertical="center" wrapText="1"/>
    </xf>
    <xf numFmtId="165" fontId="17" fillId="8" borderId="22" xfId="4" applyNumberFormat="1" applyFont="1" applyFill="1" applyBorder="1" applyAlignment="1">
      <alignment horizontal="center" vertical="center"/>
    </xf>
    <xf numFmtId="165" fontId="17" fillId="8" borderId="23" xfId="4" applyNumberFormat="1" applyFont="1" applyFill="1" applyBorder="1" applyAlignment="1">
      <alignment horizontal="center" vertical="center"/>
    </xf>
    <xf numFmtId="3" fontId="0" fillId="8" borderId="26" xfId="0" applyNumberFormat="1" applyFont="1" applyFill="1" applyBorder="1" applyAlignment="1">
      <alignment horizontal="center" vertical="center" wrapText="1"/>
    </xf>
    <xf numFmtId="164" fontId="0" fillId="8" borderId="27" xfId="1" applyNumberFormat="1" applyFont="1" applyFill="1" applyBorder="1" applyAlignment="1">
      <alignment horizontal="center" vertical="center" wrapText="1"/>
    </xf>
    <xf numFmtId="165" fontId="17" fillId="8" borderId="28" xfId="4" applyNumberFormat="1" applyFont="1" applyFill="1" applyBorder="1" applyAlignment="1">
      <alignment horizontal="center" vertical="center"/>
    </xf>
    <xf numFmtId="9" fontId="24" fillId="0" borderId="1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5" fontId="19" fillId="0" borderId="29" xfId="0" applyNumberFormat="1" applyFont="1" applyBorder="1" applyAlignment="1">
      <alignment horizontal="center"/>
    </xf>
    <xf numFmtId="165" fontId="17" fillId="8" borderId="8" xfId="4" applyNumberFormat="1" applyFont="1" applyFill="1" applyBorder="1" applyAlignment="1">
      <alignment horizontal="right" vertical="center"/>
    </xf>
    <xf numFmtId="165" fontId="17" fillId="8" borderId="30" xfId="4" applyNumberFormat="1" applyFont="1" applyFill="1" applyBorder="1" applyAlignment="1">
      <alignment horizontal="right" vertical="center"/>
    </xf>
    <xf numFmtId="0" fontId="24" fillId="10" borderId="11" xfId="0" applyFont="1" applyFill="1" applyBorder="1" applyAlignment="1">
      <alignment vertical="center" wrapText="1"/>
    </xf>
    <xf numFmtId="165" fontId="17" fillId="8" borderId="10" xfId="4" applyNumberFormat="1" applyFont="1" applyFill="1" applyBorder="1" applyAlignment="1">
      <alignment horizontal="right" vertical="center"/>
    </xf>
    <xf numFmtId="0" fontId="24" fillId="10" borderId="8" xfId="0" applyFont="1" applyFill="1" applyBorder="1" applyAlignment="1">
      <alignment vertical="center" wrapText="1"/>
    </xf>
    <xf numFmtId="0" fontId="24" fillId="10" borderId="10" xfId="0" applyFont="1" applyFill="1" applyBorder="1" applyAlignment="1">
      <alignment vertical="center" wrapText="1"/>
    </xf>
    <xf numFmtId="0" fontId="36" fillId="8" borderId="8" xfId="0" applyFont="1" applyFill="1" applyBorder="1" applyAlignment="1">
      <alignment horizontal="left" vertical="center" wrapText="1"/>
    </xf>
    <xf numFmtId="0" fontId="36" fillId="8" borderId="10" xfId="0" applyFont="1" applyFill="1" applyBorder="1" applyAlignment="1">
      <alignment horizontal="left" vertical="center" wrapText="1"/>
    </xf>
  </cellXfs>
  <cellStyles count="5">
    <cellStyle name="Comma" xfId="1" builtinId="3"/>
    <cellStyle name="Hyperlink" xfId="3" builtinId="8"/>
    <cellStyle name="Normal" xfId="0" builtinId="0"/>
    <cellStyle name="Normal_Sheet1" xfId="2"/>
    <cellStyle name="Percent" xfId="4" builtinId="5"/>
  </cellStyles>
  <dxfs count="2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'Consolidated 2017_Response'!$D$2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'Consolidated 2017_Response'!$A$3:$A$20</c:f>
              <c:strCache>
                <c:ptCount val="18"/>
                <c:pt idx="0">
                  <c:v>Anbar</c:v>
                </c:pt>
                <c:pt idx="1">
                  <c:v>Babylon</c:v>
                </c:pt>
                <c:pt idx="2">
                  <c:v>Baghdad</c:v>
                </c:pt>
                <c:pt idx="3">
                  <c:v>Basrah</c:v>
                </c:pt>
                <c:pt idx="4">
                  <c:v>Dahuk</c:v>
                </c:pt>
                <c:pt idx="5">
                  <c:v>Diyala</c:v>
                </c:pt>
                <c:pt idx="6">
                  <c:v>Erbil</c:v>
                </c:pt>
                <c:pt idx="7">
                  <c:v>Kerbala</c:v>
                </c:pt>
                <c:pt idx="8">
                  <c:v>Kirkuk</c:v>
                </c:pt>
                <c:pt idx="9">
                  <c:v>Missan</c:v>
                </c:pt>
                <c:pt idx="10">
                  <c:v>Muthanna</c:v>
                </c:pt>
                <c:pt idx="11">
                  <c:v>Najaf</c:v>
                </c:pt>
                <c:pt idx="12">
                  <c:v>Ninewa</c:v>
                </c:pt>
                <c:pt idx="13">
                  <c:v>Qadissiya</c:v>
                </c:pt>
                <c:pt idx="14">
                  <c:v>Salah al-Din</c:v>
                </c:pt>
                <c:pt idx="15">
                  <c:v>Sulaymaniyah</c:v>
                </c:pt>
                <c:pt idx="16">
                  <c:v>Thi-Qar</c:v>
                </c:pt>
                <c:pt idx="17">
                  <c:v>Wassit</c:v>
                </c:pt>
              </c:strCache>
            </c:strRef>
          </c:cat>
          <c:val>
            <c:numRef>
              <c:f>'Consolidated 2017_Response'!$D$3:$D$20</c:f>
              <c:numCache>
                <c:formatCode>_(* #,##0_);_(* \(#,##0\);_(* "-"??_);_(@_)</c:formatCode>
                <c:ptCount val="18"/>
                <c:pt idx="0">
                  <c:v>490242.11595303135</c:v>
                </c:pt>
                <c:pt idx="1">
                  <c:v>10095.265989212441</c:v>
                </c:pt>
                <c:pt idx="2">
                  <c:v>90444.685426006967</c:v>
                </c:pt>
                <c:pt idx="3">
                  <c:v>1352.846081465309</c:v>
                </c:pt>
                <c:pt idx="4">
                  <c:v>262285.4914534979</c:v>
                </c:pt>
                <c:pt idx="5">
                  <c:v>108710.08073331327</c:v>
                </c:pt>
                <c:pt idx="6">
                  <c:v>222025.81081192615</c:v>
                </c:pt>
                <c:pt idx="7">
                  <c:v>14127.112748623869</c:v>
                </c:pt>
                <c:pt idx="8">
                  <c:v>166971.90098599586</c:v>
                </c:pt>
                <c:pt idx="9">
                  <c:v>1101.655568566242</c:v>
                </c:pt>
                <c:pt idx="10">
                  <c:v>694.51617565309459</c:v>
                </c:pt>
                <c:pt idx="11">
                  <c:v>13873.454268937221</c:v>
                </c:pt>
                <c:pt idx="12">
                  <c:v>648858</c:v>
                </c:pt>
                <c:pt idx="13">
                  <c:v>3796.0049404509668</c:v>
                </c:pt>
                <c:pt idx="14">
                  <c:v>223592.88450771463</c:v>
                </c:pt>
                <c:pt idx="15">
                  <c:v>62580.697734575915</c:v>
                </c:pt>
                <c:pt idx="16">
                  <c:v>1123.569373371771</c:v>
                </c:pt>
                <c:pt idx="17">
                  <c:v>4464.9072476573028</c:v>
                </c:pt>
              </c:numCache>
            </c:numRef>
          </c:val>
        </c:ser>
        <c:ser>
          <c:idx val="1"/>
          <c:order val="1"/>
          <c:tx>
            <c:strRef>
              <c:f>'Consolidated 2017_Response'!$E$2</c:f>
              <c:strCache>
                <c:ptCount val="1"/>
                <c:pt idx="0">
                  <c:v>NFI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'Consolidated 2017_Response'!$A$3:$A$20</c:f>
              <c:strCache>
                <c:ptCount val="18"/>
                <c:pt idx="0">
                  <c:v>Anbar</c:v>
                </c:pt>
                <c:pt idx="1">
                  <c:v>Babylon</c:v>
                </c:pt>
                <c:pt idx="2">
                  <c:v>Baghdad</c:v>
                </c:pt>
                <c:pt idx="3">
                  <c:v>Basrah</c:v>
                </c:pt>
                <c:pt idx="4">
                  <c:v>Dahuk</c:v>
                </c:pt>
                <c:pt idx="5">
                  <c:v>Diyala</c:v>
                </c:pt>
                <c:pt idx="6">
                  <c:v>Erbil</c:v>
                </c:pt>
                <c:pt idx="7">
                  <c:v>Kerbala</c:v>
                </c:pt>
                <c:pt idx="8">
                  <c:v>Kirkuk</c:v>
                </c:pt>
                <c:pt idx="9">
                  <c:v>Missan</c:v>
                </c:pt>
                <c:pt idx="10">
                  <c:v>Muthanna</c:v>
                </c:pt>
                <c:pt idx="11">
                  <c:v>Najaf</c:v>
                </c:pt>
                <c:pt idx="12">
                  <c:v>Ninewa</c:v>
                </c:pt>
                <c:pt idx="13">
                  <c:v>Qadissiya</c:v>
                </c:pt>
                <c:pt idx="14">
                  <c:v>Salah al-Din</c:v>
                </c:pt>
                <c:pt idx="15">
                  <c:v>Sulaymaniyah</c:v>
                </c:pt>
                <c:pt idx="16">
                  <c:v>Thi-Qar</c:v>
                </c:pt>
                <c:pt idx="17">
                  <c:v>Wassit</c:v>
                </c:pt>
              </c:strCache>
            </c:strRef>
          </c:cat>
          <c:val>
            <c:numRef>
              <c:f>'Consolidated 2017_Response'!$E$3:$E$20</c:f>
              <c:numCache>
                <c:formatCode>_(* #,##0_);_(* \(#,##0\);_(* "-"??_);_(@_)</c:formatCode>
                <c:ptCount val="18"/>
                <c:pt idx="0">
                  <c:v>93396</c:v>
                </c:pt>
                <c:pt idx="1">
                  <c:v>0</c:v>
                </c:pt>
                <c:pt idx="2">
                  <c:v>5292</c:v>
                </c:pt>
                <c:pt idx="3">
                  <c:v>720</c:v>
                </c:pt>
                <c:pt idx="4">
                  <c:v>8226</c:v>
                </c:pt>
                <c:pt idx="5">
                  <c:v>6924</c:v>
                </c:pt>
                <c:pt idx="6">
                  <c:v>139050</c:v>
                </c:pt>
                <c:pt idx="7">
                  <c:v>0</c:v>
                </c:pt>
                <c:pt idx="8">
                  <c:v>76980</c:v>
                </c:pt>
                <c:pt idx="9">
                  <c:v>36</c:v>
                </c:pt>
                <c:pt idx="10">
                  <c:v>12</c:v>
                </c:pt>
                <c:pt idx="11">
                  <c:v>0</c:v>
                </c:pt>
                <c:pt idx="12">
                  <c:v>1178496</c:v>
                </c:pt>
                <c:pt idx="13">
                  <c:v>300</c:v>
                </c:pt>
                <c:pt idx="14">
                  <c:v>118692</c:v>
                </c:pt>
                <c:pt idx="15">
                  <c:v>11940</c:v>
                </c:pt>
                <c:pt idx="16">
                  <c:v>318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'Consolidated 2017_Response'!$F$2</c:f>
              <c:strCache>
                <c:ptCount val="1"/>
                <c:pt idx="0">
                  <c:v>Shelter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'Consolidated 2017_Response'!$A$3:$A$20</c:f>
              <c:strCache>
                <c:ptCount val="18"/>
                <c:pt idx="0">
                  <c:v>Anbar</c:v>
                </c:pt>
                <c:pt idx="1">
                  <c:v>Babylon</c:v>
                </c:pt>
                <c:pt idx="2">
                  <c:v>Baghdad</c:v>
                </c:pt>
                <c:pt idx="3">
                  <c:v>Basrah</c:v>
                </c:pt>
                <c:pt idx="4">
                  <c:v>Dahuk</c:v>
                </c:pt>
                <c:pt idx="5">
                  <c:v>Diyala</c:v>
                </c:pt>
                <c:pt idx="6">
                  <c:v>Erbil</c:v>
                </c:pt>
                <c:pt idx="7">
                  <c:v>Kerbala</c:v>
                </c:pt>
                <c:pt idx="8">
                  <c:v>Kirkuk</c:v>
                </c:pt>
                <c:pt idx="9">
                  <c:v>Missan</c:v>
                </c:pt>
                <c:pt idx="10">
                  <c:v>Muthanna</c:v>
                </c:pt>
                <c:pt idx="11">
                  <c:v>Najaf</c:v>
                </c:pt>
                <c:pt idx="12">
                  <c:v>Ninewa</c:v>
                </c:pt>
                <c:pt idx="13">
                  <c:v>Qadissiya</c:v>
                </c:pt>
                <c:pt idx="14">
                  <c:v>Salah al-Din</c:v>
                </c:pt>
                <c:pt idx="15">
                  <c:v>Sulaymaniyah</c:v>
                </c:pt>
                <c:pt idx="16">
                  <c:v>Thi-Qar</c:v>
                </c:pt>
                <c:pt idx="17">
                  <c:v>Wassit</c:v>
                </c:pt>
              </c:strCache>
            </c:strRef>
          </c:cat>
          <c:val>
            <c:numRef>
              <c:f>'Consolidated 2017_Response'!$F$3:$F$20</c:f>
              <c:numCache>
                <c:formatCode>_(* #,##0_);_(* \(#,##0\);_(* "-"??_);_(@_)</c:formatCode>
                <c:ptCount val="18"/>
                <c:pt idx="0">
                  <c:v>25032</c:v>
                </c:pt>
                <c:pt idx="1">
                  <c:v>210</c:v>
                </c:pt>
                <c:pt idx="2">
                  <c:v>5964</c:v>
                </c:pt>
                <c:pt idx="3">
                  <c:v>0</c:v>
                </c:pt>
                <c:pt idx="4">
                  <c:v>64056</c:v>
                </c:pt>
                <c:pt idx="5">
                  <c:v>3666</c:v>
                </c:pt>
                <c:pt idx="6">
                  <c:v>11880</c:v>
                </c:pt>
                <c:pt idx="7">
                  <c:v>204</c:v>
                </c:pt>
                <c:pt idx="8">
                  <c:v>115614</c:v>
                </c:pt>
                <c:pt idx="9">
                  <c:v>0</c:v>
                </c:pt>
                <c:pt idx="10">
                  <c:v>0</c:v>
                </c:pt>
                <c:pt idx="11">
                  <c:v>240</c:v>
                </c:pt>
                <c:pt idx="12">
                  <c:v>581154</c:v>
                </c:pt>
                <c:pt idx="13">
                  <c:v>0</c:v>
                </c:pt>
                <c:pt idx="14">
                  <c:v>94236</c:v>
                </c:pt>
                <c:pt idx="15">
                  <c:v>12972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562304"/>
        <c:axId val="108563840"/>
      </c:barChart>
      <c:catAx>
        <c:axId val="108562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563840"/>
        <c:crosses val="autoZero"/>
        <c:auto val="1"/>
        <c:lblAlgn val="ctr"/>
        <c:lblOffset val="100"/>
        <c:noMultiLvlLbl val="0"/>
      </c:catAx>
      <c:valAx>
        <c:axId val="1085638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08562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273843</xdr:colOff>
      <xdr:row>23</xdr:row>
      <xdr:rowOff>178594</xdr:rowOff>
    </xdr:from>
    <xdr:to>
      <xdr:col>12</xdr:col>
      <xdr:colOff>1273969</xdr:colOff>
      <xdr:row>50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Table142356948" displayName="Table142356948" ref="A2:L23" totalsRowCount="1" headerRowDxfId="268" dataDxfId="267" totalsRowBorderDxfId="266">
  <autoFilter ref="A2:L22"/>
  <sortState ref="A3:H20">
    <sortCondition ref="A1:A19"/>
  </sortState>
  <tableColumns count="12">
    <tableColumn id="1" name="Governerate" dataDxfId="265" totalsRowDxfId="264" dataCellStyle="Normal_Sheet1"/>
    <tableColumn id="2" name="Admin 1 Code" dataDxfId="263" totalsRowDxfId="262" dataCellStyle="Normal_Sheet1"/>
    <tableColumn id="5" name="PEOPLE IN NEED" dataDxfId="261" totalsRowDxfId="260" dataCellStyle="Comma"/>
    <tableColumn id="6" name="Target" dataDxfId="259" totalsRowDxfId="258" dataCellStyle="Comma"/>
    <tableColumn id="7" name="NFI" totalsRowFunction="custom" dataDxfId="257" totalsRowDxfId="256" dataCellStyle="Percent">
      <totalsRowFormula>E21/D21</totalsRowFormula>
    </tableColumn>
    <tableColumn id="12" name="Shelter" totalsRowFunction="custom" dataDxfId="255" totalsRowDxfId="254" dataCellStyle="Percent">
      <calculatedColumnFormula>Table142356948[[#This Row],[Emergency Shelter]]+Table142356948[[#This Row],[Shelter Upgrade/Repair]]+Table142356948[[#This Row],[Shelter and housing options]]</calculatedColumnFormula>
      <totalsRowFormula>F21/D21</totalsRowFormula>
    </tableColumn>
    <tableColumn id="8" name="Emergency NFI" dataDxfId="253" totalsRowDxfId="252"/>
    <tableColumn id="3" name="Emergency Shelter" dataDxfId="251" totalsRowDxfId="250" dataCellStyle="Comma"/>
    <tableColumn id="9" name="NFI Replenishment " dataDxfId="249" totalsRowDxfId="248"/>
    <tableColumn id="4" name="Shelter Upgrade/Repair" dataDxfId="247" totalsRowDxfId="246" dataCellStyle="Comma"/>
    <tableColumn id="10" name="NFI3" dataDxfId="245" totalsRowDxfId="244"/>
    <tableColumn id="11" name="Shelter and housing options" dataDxfId="243" totalsRowDxfId="242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3" name="Table14235694" displayName="Table14235694" ref="A2:L23" totalsRowCount="1" headerRowDxfId="25" dataDxfId="24" totalsRowDxfId="23" totalsRowBorderDxfId="22">
  <autoFilter ref="A2:L22"/>
  <sortState ref="A2:H19">
    <sortCondition ref="A1:A19"/>
  </sortState>
  <tableColumns count="12">
    <tableColumn id="1" name="Governerate" dataDxfId="21" totalsRowDxfId="20" dataCellStyle="Normal_Sheet1"/>
    <tableColumn id="2" name="Admin 1 Code" dataDxfId="19" totalsRowDxfId="18" dataCellStyle="Normal_Sheet1"/>
    <tableColumn id="5" name="PEOPLE IN NEED" dataDxfId="17" totalsRowDxfId="16" dataCellStyle="Comma"/>
    <tableColumn id="6" name="Target" dataDxfId="15" totalsRowDxfId="14" dataCellStyle="Comma"/>
    <tableColumn id="7" name="NFI" totalsRowFunction="custom" totalsRowDxfId="13" dataCellStyle="Percent">
      <totalsRowFormula>E21/D21</totalsRowFormula>
    </tableColumn>
    <tableColumn id="12" name="Shelter" totalsRowFunction="custom" totalsRowDxfId="12" dataCellStyle="Percent">
      <calculatedColumnFormula>Table14235694[[#This Row],[Emergency Shelter]]+Table14235694[[#This Row],[Shelter Upgrade/Repair]]+Table14235694[[#This Row],[Shelter and housing options]]</calculatedColumnFormula>
      <totalsRowFormula>F21/D21</totalsRowFormula>
    </tableColumn>
    <tableColumn id="8" name="Emergency NFI" dataDxfId="11" totalsRowDxfId="10"/>
    <tableColumn id="3" name="Emergency Shelter" dataDxfId="9" totalsRowDxfId="8" dataCellStyle="Comma"/>
    <tableColumn id="9" name="NFI Replenishment " dataDxfId="7" totalsRowDxfId="6"/>
    <tableColumn id="4" name="Shelter Upgrade/Repair" dataDxfId="5" totalsRowDxfId="4" dataCellStyle="Comma"/>
    <tableColumn id="10" name="NFI3" dataDxfId="3" totalsRowDxfId="2"/>
    <tableColumn id="11" name="Shelter and housing options" dataDxfId="1" totalsRow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9" name="Table14235694810" displayName="Table14235694810" ref="A2:L23" totalsRowCount="1" headerRowDxfId="241" dataDxfId="240" totalsRowBorderDxfId="239">
  <autoFilter ref="A2:L22"/>
  <sortState ref="A3:H20">
    <sortCondition ref="A1:A19"/>
  </sortState>
  <tableColumns count="12">
    <tableColumn id="1" name="Governerate" dataDxfId="238" totalsRowDxfId="237" dataCellStyle="Normal_Sheet1"/>
    <tableColumn id="2" name="Admin 1 Code" dataDxfId="236" totalsRowDxfId="235" dataCellStyle="Normal_Sheet1"/>
    <tableColumn id="5" name="PEOPLE IN NEED" dataDxfId="234" totalsRowDxfId="233" dataCellStyle="Comma"/>
    <tableColumn id="6" name="Target" dataDxfId="232" totalsRowDxfId="231" dataCellStyle="Comma"/>
    <tableColumn id="7" name="NFI" totalsRowFunction="custom" dataDxfId="230" totalsRowDxfId="229" dataCellStyle="Percent">
      <totalsRowFormula>E21/D21</totalsRowFormula>
    </tableColumn>
    <tableColumn id="12" name="Shelter" totalsRowFunction="custom" dataDxfId="228" totalsRowDxfId="227" dataCellStyle="Percent">
      <calculatedColumnFormula>Table14235694810[[#This Row],[Emergency Shelter]]+Table14235694810[[#This Row],[Shelter Upgrade/Repair]]+Table14235694810[[#This Row],[Shelter and housing options]]</calculatedColumnFormula>
      <totalsRowFormula>F21/D21</totalsRowFormula>
    </tableColumn>
    <tableColumn id="8" name="Emergency NFI" dataDxfId="226" totalsRowDxfId="225"/>
    <tableColumn id="3" name="Emergency Shelter" dataDxfId="224" totalsRowDxfId="223" dataCellStyle="Comma"/>
    <tableColumn id="9" name="NFI Replenishment " dataDxfId="222" totalsRowDxfId="221"/>
    <tableColumn id="4" name="Shelter Upgrade/Repair" dataDxfId="220" totalsRowDxfId="219" dataCellStyle="Comma"/>
    <tableColumn id="10" name="NFI3" dataDxfId="218" totalsRowDxfId="217"/>
    <tableColumn id="11" name="Shelter and housing options" dataDxfId="216" totalsRowDxfId="215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10" name="Table1423569481011" displayName="Table1423569481011" ref="A2:L23" totalsRowCount="1" headerRowDxfId="214" dataDxfId="213" totalsRowBorderDxfId="212">
  <autoFilter ref="A2:L22"/>
  <sortState ref="A3:H20">
    <sortCondition ref="A1:A19"/>
  </sortState>
  <tableColumns count="12">
    <tableColumn id="1" name="Governerate" dataDxfId="211" totalsRowDxfId="210" dataCellStyle="Normal_Sheet1"/>
    <tableColumn id="2" name="Admin 1 Code" dataDxfId="209" totalsRowDxfId="208" dataCellStyle="Normal_Sheet1"/>
    <tableColumn id="5" name="PEOPLE IN NEED" dataDxfId="207" totalsRowDxfId="206" dataCellStyle="Comma"/>
    <tableColumn id="6" name="Target" dataDxfId="205" totalsRowDxfId="204" dataCellStyle="Comma"/>
    <tableColumn id="7" name="NFI" totalsRowFunction="custom" dataDxfId="203" totalsRowDxfId="202" dataCellStyle="Percent">
      <totalsRowFormula>E21/D21</totalsRowFormula>
    </tableColumn>
    <tableColumn id="12" name="Shelter" totalsRowFunction="custom" dataDxfId="201" totalsRowDxfId="200" dataCellStyle="Percent">
      <calculatedColumnFormula>Table1423569481011[[#This Row],[Emergency Shelter]]+Table1423569481011[[#This Row],[Shelter Upgrade/Repair]]+Table1423569481011[[#This Row],[Shelter and housing options]]</calculatedColumnFormula>
      <totalsRowFormula>F21/D21</totalsRowFormula>
    </tableColumn>
    <tableColumn id="8" name="Emergency NFI" dataDxfId="199" totalsRowDxfId="198"/>
    <tableColumn id="3" name="Emergency Shelter" dataDxfId="197" totalsRowDxfId="196" dataCellStyle="Comma"/>
    <tableColumn id="9" name="NFI Replenishment " dataDxfId="195" totalsRowDxfId="194"/>
    <tableColumn id="4" name="Shelter Upgrade/Repair" dataDxfId="193" totalsRowDxfId="192" dataCellStyle="Comma"/>
    <tableColumn id="10" name="NFI3" dataDxfId="191" totalsRowDxfId="190"/>
    <tableColumn id="11" name="Shelter and housing options" dataDxfId="189" totalsRowDxfId="188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11" name="Table142356948101112" displayName="Table142356948101112" ref="A2:L23" totalsRowCount="1" headerRowDxfId="187" dataDxfId="186" totalsRowBorderDxfId="185">
  <autoFilter ref="A2:L22"/>
  <sortState ref="A3:H20">
    <sortCondition ref="A1:A19"/>
  </sortState>
  <tableColumns count="12">
    <tableColumn id="1" name="Governerate" dataDxfId="184" totalsRowDxfId="183" dataCellStyle="Normal_Sheet1"/>
    <tableColumn id="2" name="Admin 1 Code" dataDxfId="182" totalsRowDxfId="181" dataCellStyle="Normal_Sheet1"/>
    <tableColumn id="5" name="PEOPLE IN NEED" dataDxfId="180" totalsRowDxfId="179" dataCellStyle="Comma"/>
    <tableColumn id="6" name="Target" dataDxfId="178" totalsRowDxfId="177" dataCellStyle="Comma"/>
    <tableColumn id="7" name="NFI" totalsRowFunction="custom" dataDxfId="176" totalsRowDxfId="175" dataCellStyle="Percent">
      <totalsRowFormula>E21/D21</totalsRowFormula>
    </tableColumn>
    <tableColumn id="12" name="Shelter" totalsRowFunction="custom" dataDxfId="174" totalsRowDxfId="173" dataCellStyle="Percent">
      <calculatedColumnFormula>Table142356948101112[[#This Row],[Emergency Shelter]]+Table142356948101112[[#This Row],[Shelter Upgrade/Repair]]+Table142356948101112[[#This Row],[Shelter and housing options]]</calculatedColumnFormula>
      <totalsRowFormula>F21/D21</totalsRowFormula>
    </tableColumn>
    <tableColumn id="8" name="Emergency NFI" dataDxfId="172" totalsRowDxfId="171"/>
    <tableColumn id="3" name="Emergency Shelter" dataDxfId="170" totalsRowDxfId="169" dataCellStyle="Comma"/>
    <tableColumn id="9" name="NFI Replenishment " dataDxfId="168" totalsRowDxfId="167"/>
    <tableColumn id="4" name="Shelter Upgrade/Repair" dataDxfId="166" totalsRowDxfId="165" dataCellStyle="Comma"/>
    <tableColumn id="10" name="NFI3" dataDxfId="164" totalsRowDxfId="163"/>
    <tableColumn id="11" name="Shelter and housing options" dataDxfId="162" totalsRowDxfId="161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12" name="Table14235694810111213" displayName="Table14235694810111213" ref="A2:L23" totalsRowCount="1" headerRowDxfId="160" dataDxfId="159" totalsRowBorderDxfId="158">
  <autoFilter ref="A2:L22"/>
  <sortState ref="A3:H20">
    <sortCondition ref="A1:A19"/>
  </sortState>
  <tableColumns count="12">
    <tableColumn id="1" name="Governerate" dataDxfId="157" totalsRowDxfId="156" dataCellStyle="Normal_Sheet1"/>
    <tableColumn id="2" name="Admin 1 Code" dataDxfId="155" totalsRowDxfId="154" dataCellStyle="Normal_Sheet1"/>
    <tableColumn id="5" name="PEOPLE IN NEED" dataDxfId="153" totalsRowDxfId="152" dataCellStyle="Comma"/>
    <tableColumn id="6" name="Target" dataDxfId="151" totalsRowDxfId="150" dataCellStyle="Comma"/>
    <tableColumn id="7" name="NFI" totalsRowFunction="custom" dataDxfId="149" totalsRowDxfId="148" dataCellStyle="Percent">
      <totalsRowFormula>E21/D21</totalsRowFormula>
    </tableColumn>
    <tableColumn id="12" name="Shelter" totalsRowFunction="custom" dataDxfId="147" totalsRowDxfId="146" dataCellStyle="Percent">
      <calculatedColumnFormula>Table14235694810111213[[#This Row],[Emergency Shelter]]+Table14235694810111213[[#This Row],[Shelter Upgrade/Repair]]+Table14235694810111213[[#This Row],[Shelter and housing options]]</calculatedColumnFormula>
      <totalsRowFormula>F21/D21</totalsRowFormula>
    </tableColumn>
    <tableColumn id="8" name="Emergency NFI" dataDxfId="145" totalsRowDxfId="144"/>
    <tableColumn id="3" name="Emergency Shelter" dataDxfId="143" totalsRowDxfId="142" dataCellStyle="Comma"/>
    <tableColumn id="9" name="NFI Replenishment " dataDxfId="141" totalsRowDxfId="140"/>
    <tableColumn id="4" name="Shelter Upgrade/Repair" dataDxfId="139" totalsRowDxfId="138" dataCellStyle="Comma"/>
    <tableColumn id="10" name="NFI3" dataDxfId="137" totalsRowDxfId="136"/>
    <tableColumn id="11" name="Shelter and housing options" dataDxfId="135" totalsRowDxfId="134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3" name="Table1423569481011121314" displayName="Table1423569481011121314" ref="A2:L23" totalsRowCount="1" headerRowDxfId="133" dataDxfId="132" totalsRowBorderDxfId="131">
  <autoFilter ref="A2:L22"/>
  <sortState ref="A3:H20">
    <sortCondition ref="A1:A19"/>
  </sortState>
  <tableColumns count="12">
    <tableColumn id="1" name="Governerate" dataDxfId="130" totalsRowDxfId="129" dataCellStyle="Normal_Sheet1"/>
    <tableColumn id="2" name="Admin 1 Code" dataDxfId="128" totalsRowDxfId="127" dataCellStyle="Normal_Sheet1"/>
    <tableColumn id="5" name="PEOPLE IN NEED" dataDxfId="126" totalsRowDxfId="125" dataCellStyle="Comma"/>
    <tableColumn id="6" name="Target" dataDxfId="124" totalsRowDxfId="123" dataCellStyle="Comma"/>
    <tableColumn id="7" name="NFI" totalsRowFunction="custom" dataDxfId="122" totalsRowDxfId="121" dataCellStyle="Percent">
      <totalsRowFormula>E21/D21</totalsRowFormula>
    </tableColumn>
    <tableColumn id="12" name="Shelter" totalsRowFunction="custom" dataDxfId="120" totalsRowDxfId="119" dataCellStyle="Percent">
      <calculatedColumnFormula>Table1423569481011121314[[#This Row],[Emergency Shelter]]+Table1423569481011121314[[#This Row],[Shelter Upgrade/Repair]]+Table1423569481011121314[[#This Row],[Shelter and housing options]]</calculatedColumnFormula>
      <totalsRowFormula>F21/D21</totalsRowFormula>
    </tableColumn>
    <tableColumn id="8" name="Emergency NFI" dataDxfId="118" totalsRowDxfId="117"/>
    <tableColumn id="3" name="Emergency Shelter" dataDxfId="116" totalsRowDxfId="115" dataCellStyle="Comma"/>
    <tableColumn id="9" name="NFI Replenishment " dataDxfId="114" totalsRowDxfId="113"/>
    <tableColumn id="4" name="Shelter Upgrade/Repair" dataDxfId="112" totalsRowDxfId="111" dataCellStyle="Comma"/>
    <tableColumn id="10" name="NFI3" dataDxfId="110" totalsRowDxfId="109"/>
    <tableColumn id="11" name="Shelter and housing options" dataDxfId="108" totalsRowDxfId="107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1" name="Table14235694810111213142" displayName="Table14235694810111213142" ref="A2:L23" totalsRowCount="1" headerRowDxfId="106" dataDxfId="105" totalsRowBorderDxfId="104">
  <autoFilter ref="A2:L22"/>
  <sortState ref="A3:H20">
    <sortCondition ref="A1:A19"/>
  </sortState>
  <tableColumns count="12">
    <tableColumn id="1" name="Governerate" dataDxfId="103" totalsRowDxfId="102" dataCellStyle="Normal_Sheet1"/>
    <tableColumn id="2" name="Admin 1 Code" dataDxfId="101" totalsRowDxfId="100" dataCellStyle="Normal_Sheet1"/>
    <tableColumn id="5" name="PEOPLE IN NEED" dataDxfId="99" totalsRowDxfId="98" dataCellStyle="Comma"/>
    <tableColumn id="6" name="Target" dataDxfId="97" totalsRowDxfId="96" dataCellStyle="Comma"/>
    <tableColumn id="7" name="NFI" totalsRowFunction="custom" dataDxfId="95" totalsRowDxfId="94" dataCellStyle="Percent">
      <totalsRowFormula>E21/D21</totalsRowFormula>
    </tableColumn>
    <tableColumn id="12" name="Shelter" totalsRowFunction="custom" dataDxfId="93" totalsRowDxfId="92" dataCellStyle="Percent">
      <calculatedColumnFormula>Table14235694810111213142[[#This Row],[Emergency Shelter]]+Table14235694810111213142[[#This Row],[Shelter Upgrade/Repair]]+Table14235694810111213142[[#This Row],[Shelter and housing options]]</calculatedColumnFormula>
      <totalsRowFormula>F21/D21</totalsRowFormula>
    </tableColumn>
    <tableColumn id="8" name="Emergency NFI" dataDxfId="91" totalsRowDxfId="90"/>
    <tableColumn id="3" name="Emergency Shelter" dataDxfId="89" totalsRowDxfId="88" dataCellStyle="Comma"/>
    <tableColumn id="9" name="NFI Replenishment " dataDxfId="87" totalsRowDxfId="86"/>
    <tableColumn id="4" name="Shelter Upgrade/Repair" dataDxfId="85" totalsRowDxfId="84" dataCellStyle="Comma"/>
    <tableColumn id="10" name="NFI3" dataDxfId="83" totalsRowDxfId="82"/>
    <tableColumn id="11" name="Shelter and housing options" dataDxfId="81" totalsRowDxfId="80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" name="Table142356948101112131423" displayName="Table142356948101112131423" ref="A2:L23" totalsRowCount="1" headerRowDxfId="79" dataDxfId="78" totalsRowBorderDxfId="77">
  <autoFilter ref="A2:L22"/>
  <sortState ref="A3:H20">
    <sortCondition ref="A1:A19"/>
  </sortState>
  <tableColumns count="12">
    <tableColumn id="1" name="Governerate" dataDxfId="76" totalsRowDxfId="75" dataCellStyle="Normal_Sheet1"/>
    <tableColumn id="2" name="Admin 1 Code" dataDxfId="74" totalsRowDxfId="73" dataCellStyle="Normal_Sheet1"/>
    <tableColumn id="5" name="PEOPLE IN NEED" dataDxfId="72" totalsRowDxfId="71" dataCellStyle="Comma"/>
    <tableColumn id="6" name="Target" dataDxfId="70" totalsRowDxfId="69" dataCellStyle="Comma"/>
    <tableColumn id="7" name="NFI" totalsRowFunction="custom" dataDxfId="68" totalsRowDxfId="67" dataCellStyle="Percent">
      <totalsRowFormula>E21/D21</totalsRowFormula>
    </tableColumn>
    <tableColumn id="12" name="Shelter" totalsRowFunction="custom" dataDxfId="66" totalsRowDxfId="65" dataCellStyle="Percent">
      <calculatedColumnFormula>Table142356948101112131423[[#This Row],[Emergency Shelter]]+Table142356948101112131423[[#This Row],[Shelter Upgrade/Repair]]+Table142356948101112131423[[#This Row],[Shelter and housing options]]</calculatedColumnFormula>
      <totalsRowFormula>F21/D21</totalsRowFormula>
    </tableColumn>
    <tableColumn id="8" name="Emergency NFI" dataDxfId="64" totalsRowDxfId="63"/>
    <tableColumn id="3" name="Emergency Shelter" dataDxfId="62" totalsRowDxfId="61" dataCellStyle="Comma"/>
    <tableColumn id="9" name="NFI Replenishment " dataDxfId="60" totalsRowDxfId="59"/>
    <tableColumn id="4" name="Shelter Upgrade/Repair" dataDxfId="58" totalsRowDxfId="57" dataCellStyle="Comma"/>
    <tableColumn id="10" name="NFI3" dataDxfId="56" totalsRowDxfId="55"/>
    <tableColumn id="11" name="Shelter and housing options" dataDxfId="54" totalsRowDxfId="53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id="4" name="Table1423569481011121314235" displayName="Table1423569481011121314235" ref="A2:L23" totalsRowCount="1" headerRowDxfId="52" dataDxfId="51" totalsRowBorderDxfId="50">
  <autoFilter ref="A2:L22"/>
  <sortState ref="A3:H20">
    <sortCondition ref="A1:A19"/>
  </sortState>
  <tableColumns count="12">
    <tableColumn id="1" name="Governerate" dataDxfId="49" totalsRowDxfId="48" dataCellStyle="Normal_Sheet1"/>
    <tableColumn id="2" name="Admin 1 Code" dataDxfId="47" totalsRowDxfId="46" dataCellStyle="Normal_Sheet1"/>
    <tableColumn id="5" name="PEOPLE IN NEED" dataDxfId="45" totalsRowDxfId="44" dataCellStyle="Comma"/>
    <tableColumn id="6" name="Target" dataDxfId="43" totalsRowDxfId="42" dataCellStyle="Comma"/>
    <tableColumn id="7" name="NFI" totalsRowFunction="custom" dataDxfId="41" totalsRowDxfId="40" dataCellStyle="Percent">
      <totalsRowFormula>E21/D21</totalsRowFormula>
    </tableColumn>
    <tableColumn id="12" name="Shelter" totalsRowFunction="custom" dataDxfId="39" totalsRowDxfId="38" dataCellStyle="Percent">
      <calculatedColumnFormula>Table1423569481011121314235[[#This Row],[Emergency Shelter]]+Table1423569481011121314235[[#This Row],[Shelter Upgrade/Repair]]+Table1423569481011121314235[[#This Row],[Shelter and housing options]]</calculatedColumnFormula>
      <totalsRowFormula>F21/D21</totalsRowFormula>
    </tableColumn>
    <tableColumn id="8" name="Emergency NFI" dataDxfId="37" totalsRowDxfId="36"/>
    <tableColumn id="3" name="Emergency Shelter" dataDxfId="35" totalsRowDxfId="34" dataCellStyle="Comma"/>
    <tableColumn id="9" name="NFI Replenishment " dataDxfId="33" totalsRowDxfId="32"/>
    <tableColumn id="4" name="Shelter Upgrade/Repair" dataDxfId="31" totalsRowDxfId="30" dataCellStyle="Comma"/>
    <tableColumn id="10" name="NFI3" dataDxfId="29" totalsRowDxfId="28"/>
    <tableColumn id="11" name="Shelter and housing options" dataDxfId="27" totalsRowDxfId="26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ord2.iraq@sheltercluster.org" TargetMode="External"/><Relationship Id="rId1" Type="http://schemas.openxmlformats.org/officeDocument/2006/relationships/hyperlink" Target="mailto:coord.iraq@sheltercluster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showGridLines="0" zoomScale="80" zoomScaleNormal="80" workbookViewId="0">
      <selection activeCell="A12" sqref="A12"/>
    </sheetView>
  </sheetViews>
  <sheetFormatPr defaultRowHeight="12.75" x14ac:dyDescent="0.2"/>
  <cols>
    <col min="1" max="1" width="36.42578125" style="45" customWidth="1"/>
    <col min="2" max="4" width="19.140625" style="45" customWidth="1"/>
    <col min="5" max="5" width="20.7109375" style="45" customWidth="1"/>
    <col min="6" max="6" width="19.7109375" style="45" customWidth="1"/>
    <col min="7" max="16384" width="9.140625" style="45"/>
  </cols>
  <sheetData>
    <row r="1" spans="1:6" ht="21.75" customHeight="1" x14ac:dyDescent="0.2">
      <c r="A1" s="43"/>
      <c r="B1" s="17" t="s">
        <v>45</v>
      </c>
      <c r="C1" s="18" t="s">
        <v>46</v>
      </c>
      <c r="D1" s="18" t="s">
        <v>47</v>
      </c>
      <c r="E1" s="44" t="s">
        <v>66</v>
      </c>
      <c r="F1" s="57" t="s">
        <v>68</v>
      </c>
    </row>
    <row r="2" spans="1:6" x14ac:dyDescent="0.2">
      <c r="A2" s="43" t="s">
        <v>48</v>
      </c>
      <c r="B2" s="46">
        <v>1130591</v>
      </c>
      <c r="C2" s="46">
        <v>546892</v>
      </c>
      <c r="D2" s="46">
        <v>648858</v>
      </c>
      <c r="E2" s="47">
        <f>SUM(B2:D2)</f>
        <v>2326341</v>
      </c>
      <c r="F2" s="58">
        <f>E2/6</f>
        <v>387723.5</v>
      </c>
    </row>
    <row r="3" spans="1:6" x14ac:dyDescent="0.2">
      <c r="A3" s="128" t="s">
        <v>49</v>
      </c>
      <c r="B3" s="129">
        <v>29</v>
      </c>
      <c r="C3" s="129">
        <v>13</v>
      </c>
      <c r="D3" s="129">
        <v>25</v>
      </c>
      <c r="E3" s="48"/>
    </row>
    <row r="4" spans="1:6" x14ac:dyDescent="0.2">
      <c r="A4" s="128"/>
      <c r="B4" s="129"/>
      <c r="C4" s="129"/>
      <c r="D4" s="129"/>
      <c r="E4" s="48"/>
    </row>
    <row r="5" spans="1:6" x14ac:dyDescent="0.2">
      <c r="A5" s="43" t="s">
        <v>50</v>
      </c>
      <c r="B5" s="49">
        <v>73879938</v>
      </c>
      <c r="C5" s="49">
        <v>41918452</v>
      </c>
      <c r="D5" s="49">
        <v>59515318</v>
      </c>
      <c r="E5" s="107">
        <f>SUM(B5:D5)</f>
        <v>175313708</v>
      </c>
    </row>
    <row r="6" spans="1:6" x14ac:dyDescent="0.2">
      <c r="A6" s="128" t="s">
        <v>51</v>
      </c>
      <c r="B6" s="130" t="s">
        <v>52</v>
      </c>
      <c r="C6" s="130"/>
      <c r="D6" s="130"/>
      <c r="E6" s="48"/>
    </row>
    <row r="7" spans="1:6" x14ac:dyDescent="0.2">
      <c r="A7" s="128"/>
      <c r="B7" s="131" t="s">
        <v>53</v>
      </c>
      <c r="C7" s="131"/>
      <c r="D7" s="131"/>
      <c r="E7" s="48"/>
    </row>
    <row r="8" spans="1:6" x14ac:dyDescent="0.2">
      <c r="A8" s="128"/>
      <c r="B8" s="130"/>
      <c r="C8" s="130"/>
      <c r="D8" s="130"/>
      <c r="E8" s="48"/>
    </row>
    <row r="9" spans="1:6" x14ac:dyDescent="0.2">
      <c r="A9" s="128" t="s">
        <v>54</v>
      </c>
      <c r="B9" s="130" t="s">
        <v>55</v>
      </c>
      <c r="C9" s="130"/>
      <c r="D9" s="130"/>
      <c r="E9" s="48"/>
    </row>
    <row r="10" spans="1:6" x14ac:dyDescent="0.2">
      <c r="A10" s="128"/>
      <c r="B10" s="131" t="s">
        <v>56</v>
      </c>
      <c r="C10" s="131"/>
      <c r="D10" s="131"/>
      <c r="E10" s="48"/>
    </row>
    <row r="11" spans="1:6" x14ac:dyDescent="0.2">
      <c r="A11" s="128"/>
      <c r="B11" s="130"/>
      <c r="C11" s="130"/>
      <c r="D11" s="130"/>
      <c r="E11" s="50"/>
    </row>
    <row r="13" spans="1:6" hidden="1" x14ac:dyDescent="0.2"/>
    <row r="14" spans="1:6" hidden="1" x14ac:dyDescent="0.2">
      <c r="B14" s="132" t="s">
        <v>67</v>
      </c>
      <c r="C14" s="133"/>
    </row>
    <row r="15" spans="1:6" hidden="1" x14ac:dyDescent="0.2">
      <c r="B15" s="59" t="s">
        <v>64</v>
      </c>
      <c r="C15" s="64" t="s">
        <v>65</v>
      </c>
      <c r="D15" s="54" t="s">
        <v>57</v>
      </c>
    </row>
    <row r="16" spans="1:6" hidden="1" x14ac:dyDescent="0.2">
      <c r="A16" s="51" t="s">
        <v>61</v>
      </c>
      <c r="B16" s="60">
        <v>1190204</v>
      </c>
      <c r="C16" s="65">
        <v>344258</v>
      </c>
      <c r="D16" s="55"/>
    </row>
    <row r="17" spans="1:4" hidden="1" x14ac:dyDescent="0.2">
      <c r="A17" s="71" t="s">
        <v>63</v>
      </c>
      <c r="B17" s="72">
        <v>100246</v>
      </c>
      <c r="C17" s="73">
        <v>256530</v>
      </c>
      <c r="D17" s="55"/>
    </row>
    <row r="18" spans="1:4" hidden="1" x14ac:dyDescent="0.2">
      <c r="A18" s="53"/>
      <c r="B18" s="61"/>
      <c r="C18" s="66">
        <v>12234</v>
      </c>
      <c r="D18" s="55"/>
    </row>
    <row r="19" spans="1:4" hidden="1" x14ac:dyDescent="0.2">
      <c r="A19" s="74"/>
      <c r="B19" s="75"/>
      <c r="C19" s="76">
        <v>382978</v>
      </c>
      <c r="D19" s="55"/>
    </row>
    <row r="20" spans="1:4" hidden="1" x14ac:dyDescent="0.2">
      <c r="A20" s="52" t="s">
        <v>62</v>
      </c>
      <c r="B20" s="62"/>
      <c r="C20" s="67">
        <v>41534</v>
      </c>
      <c r="D20" s="55"/>
    </row>
    <row r="21" spans="1:4" hidden="1" x14ac:dyDescent="0.2">
      <c r="B21" s="69">
        <f>SUM(B16:B20)</f>
        <v>1290450</v>
      </c>
      <c r="C21" s="70">
        <f>SUM(C16:C20)</f>
        <v>1037534</v>
      </c>
      <c r="D21" s="56">
        <f>SUM(B21:C21)</f>
        <v>2327984</v>
      </c>
    </row>
    <row r="22" spans="1:4" hidden="1" x14ac:dyDescent="0.2">
      <c r="B22" s="63">
        <f>B21/6</f>
        <v>215075</v>
      </c>
      <c r="C22" s="68">
        <f>C21/6</f>
        <v>172922.33333333334</v>
      </c>
      <c r="D22" s="56">
        <f>D21/6</f>
        <v>387997.33333333331</v>
      </c>
    </row>
    <row r="23" spans="1:4" hidden="1" x14ac:dyDescent="0.2"/>
  </sheetData>
  <mergeCells count="13">
    <mergeCell ref="B14:C14"/>
    <mergeCell ref="A9:A11"/>
    <mergeCell ref="B9:D9"/>
    <mergeCell ref="B10:D10"/>
    <mergeCell ref="B11:D11"/>
    <mergeCell ref="A3:A4"/>
    <mergeCell ref="B3:B4"/>
    <mergeCell ref="C3:C4"/>
    <mergeCell ref="D3:D4"/>
    <mergeCell ref="A6:A8"/>
    <mergeCell ref="B6:D6"/>
    <mergeCell ref="B7:D7"/>
    <mergeCell ref="B8:D8"/>
  </mergeCells>
  <hyperlinks>
    <hyperlink ref="B7" r:id="rId1" display="mailto:coord.iraq@sheltercluster.org"/>
    <hyperlink ref="B10" r:id="rId2" display="mailto:coord2.iraq@sheltercluster.org"/>
  </hyperlinks>
  <pageMargins left="0.7" right="0.7" top="0.75" bottom="0.75" header="0.3" footer="0.3"/>
  <pageSetup paperSize="9" orientation="portrait"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E22" sqref="E22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27">
        <v>42979</v>
      </c>
      <c r="B1" s="93"/>
      <c r="C1" s="93"/>
      <c r="D1" s="93"/>
      <c r="E1" s="134" t="s">
        <v>139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Table1423569481011121314235[[#This Row],[Emergency NFI]]+Table1423569481011121314235[[#This Row],[NFI Replenishment ]]+Table1423569481011121314235[[#This Row],[NFI3]]</f>
        <v>14736</v>
      </c>
      <c r="F3" s="91">
        <f>Table1423569481011121314235[[#This Row],[Emergency Shelter]]+Table1423569481011121314235[[#This Row],[Shelter Upgrade/Repair]]+Table1423569481011121314235[[#This Row],[Shelter and housing options]]</f>
        <v>3048</v>
      </c>
      <c r="G3" s="91">
        <v>14736</v>
      </c>
      <c r="H3" s="91">
        <v>3042</v>
      </c>
      <c r="I3" s="91">
        <v>0</v>
      </c>
      <c r="J3" s="91">
        <f>1*6</f>
        <v>6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Table1423569481011121314235[[#This Row],[Emergency NFI]]+Table1423569481011121314235[[#This Row],[NFI Replenishment ]]+Table1423569481011121314235[[#This Row],[NFI3]]</f>
        <v>0</v>
      </c>
      <c r="F4" s="5">
        <f>Table1423569481011121314235[[#This Row],[Emergency Shelter]]+Table1423569481011121314235[[#This Row],[Shelter Upgrade/Repair]]+Table1423569481011121314235[[#This Row],[Shelter and housing options]]</f>
        <v>0</v>
      </c>
      <c r="G4" s="91">
        <v>0</v>
      </c>
      <c r="H4" s="5">
        <v>0</v>
      </c>
      <c r="I4" s="5">
        <v>0</v>
      </c>
      <c r="J4" s="91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Table1423569481011121314235[[#This Row],[Emergency NFI]]+Table1423569481011121314235[[#This Row],[NFI Replenishment ]]+Table1423569481011121314235[[#This Row],[NFI3]]</f>
        <v>0</v>
      </c>
      <c r="F5" s="5">
        <f>Table1423569481011121314235[[#This Row],[Emergency Shelter]]+Table1423569481011121314235[[#This Row],[Shelter Upgrade/Repair]]+Table1423569481011121314235[[#This Row],[Shelter and housing options]]</f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Table1423569481011121314235[[#This Row],[Emergency NFI]]+Table1423569481011121314235[[#This Row],[NFI Replenishment ]]+Table1423569481011121314235[[#This Row],[NFI3]]</f>
        <v>0</v>
      </c>
      <c r="F6" s="5">
        <f>Table1423569481011121314235[[#This Row],[Emergency Shelter]]+Table1423569481011121314235[[#This Row],[Shelter Upgrade/Repair]]+Table1423569481011121314235[[#This Row],[Shelter and housing options]]</f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Table1423569481011121314235[[#This Row],[Emergency NFI]]+Table1423569481011121314235[[#This Row],[NFI Replenishment ]]+Table1423569481011121314235[[#This Row],[NFI3]]</f>
        <v>66</v>
      </c>
      <c r="F7" s="5">
        <f>Table1423569481011121314235[[#This Row],[Emergency Shelter]]+Table1423569481011121314235[[#This Row],[Shelter Upgrade/Repair]]+Table1423569481011121314235[[#This Row],[Shelter and housing options]]</f>
        <v>54312</v>
      </c>
      <c r="G7" s="5">
        <v>66</v>
      </c>
      <c r="H7" s="5">
        <v>36</v>
      </c>
      <c r="I7" s="5">
        <v>0</v>
      </c>
      <c r="J7" s="5">
        <f>9046*6</f>
        <v>54276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Table1423569481011121314235[[#This Row],[Emergency NFI]]+Table1423569481011121314235[[#This Row],[NFI Replenishment ]]+Table1423569481011121314235[[#This Row],[NFI3]]</f>
        <v>1230</v>
      </c>
      <c r="F8" s="5">
        <f>Table1423569481011121314235[[#This Row],[Emergency Shelter]]+Table1423569481011121314235[[#This Row],[Shelter Upgrade/Repair]]+Table1423569481011121314235[[#This Row],[Shelter and housing options]]</f>
        <v>18</v>
      </c>
      <c r="G8" s="5">
        <v>1230</v>
      </c>
      <c r="H8" s="5">
        <v>12</v>
      </c>
      <c r="I8" s="5">
        <v>0</v>
      </c>
      <c r="J8" s="5">
        <f>1*6</f>
        <v>6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Table1423569481011121314235[[#This Row],[Emergency NFI]]+Table1423569481011121314235[[#This Row],[NFI Replenishment ]]+Table1423569481011121314235[[#This Row],[NFI3]]</f>
        <v>0</v>
      </c>
      <c r="F9" s="5">
        <f>Table1423569481011121314235[[#This Row],[Emergency Shelter]]+Table1423569481011121314235[[#This Row],[Shelter Upgrade/Repair]]+Table1423569481011121314235[[#This Row],[Shelter and housing options]]</f>
        <v>5238</v>
      </c>
      <c r="G9" s="5">
        <v>0</v>
      </c>
      <c r="H9" s="5">
        <v>4242</v>
      </c>
      <c r="I9" s="5">
        <v>0</v>
      </c>
      <c r="J9" s="5">
        <f>166*6</f>
        <v>996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Table1423569481011121314235[[#This Row],[Emergency NFI]]+Table1423569481011121314235[[#This Row],[NFI Replenishment ]]+Table1423569481011121314235[[#This Row],[NFI3]]</f>
        <v>0</v>
      </c>
      <c r="F10" s="5">
        <f>Table1423569481011121314235[[#This Row],[Emergency Shelter]]+Table1423569481011121314235[[#This Row],[Shelter Upgrade/Repair]]+Table1423569481011121314235[[#This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Table1423569481011121314235[[#This Row],[Emergency NFI]]+Table1423569481011121314235[[#This Row],[NFI Replenishment ]]+Table1423569481011121314235[[#This Row],[NFI3]]</f>
        <v>0</v>
      </c>
      <c r="F11" s="5">
        <f>Table1423569481011121314235[[#This Row],[Emergency Shelter]]+Table1423569481011121314235[[#This Row],[Shelter Upgrade/Repair]]+Table1423569481011121314235[[#This Row],[Shelter and housing options]]</f>
        <v>1164</v>
      </c>
      <c r="G11" s="5">
        <v>0</v>
      </c>
      <c r="H11" s="5">
        <v>300</v>
      </c>
      <c r="I11" s="5">
        <v>0</v>
      </c>
      <c r="J11" s="5">
        <f>144*6</f>
        <v>864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Table1423569481011121314235[[#This Row],[Emergency NFI]]+Table1423569481011121314235[[#This Row],[NFI Replenishment ]]+Table1423569481011121314235[[#This Row],[NFI3]]</f>
        <v>0</v>
      </c>
      <c r="F12" s="5">
        <f>Table1423569481011121314235[[#This Row],[Emergency Shelter]]+Table1423569481011121314235[[#This Row],[Shelter Upgrade/Repair]]+Table1423569481011121314235[[#This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Table1423569481011121314235[[#This Row],[Emergency NFI]]+Table1423569481011121314235[[#This Row],[NFI Replenishment ]]+Table1423569481011121314235[[#This Row],[NFI3]]</f>
        <v>0</v>
      </c>
      <c r="F13" s="5">
        <f>Table1423569481011121314235[[#This Row],[Emergency Shelter]]+Table1423569481011121314235[[#This Row],[Shelter Upgrade/Repair]]+Table1423569481011121314235[[#This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Table1423569481011121314235[[#This Row],[Emergency NFI]]+Table1423569481011121314235[[#This Row],[NFI Replenishment ]]+Table1423569481011121314235[[#This Row],[NFI3]]</f>
        <v>0</v>
      </c>
      <c r="F14" s="5">
        <f>Table1423569481011121314235[[#This Row],[Emergency Shelter]]+Table1423569481011121314235[[#This Row],[Shelter Upgrade/Repair]]+Table1423569481011121314235[[#This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Table1423569481011121314235[[#This Row],[Emergency NFI]]+Table1423569481011121314235[[#This Row],[NFI Replenishment ]]+Table1423569481011121314235[[#This Row],[NFI3]]</f>
        <v>9930</v>
      </c>
      <c r="F15" s="5">
        <f>Table1423569481011121314235[[#This Row],[Emergency Shelter]]+Table1423569481011121314235[[#This Row],[Shelter Upgrade/Repair]]+Table1423569481011121314235[[#This Row],[Shelter and housing options]]</f>
        <v>167892</v>
      </c>
      <c r="G15" s="5">
        <v>9930</v>
      </c>
      <c r="H15" s="5">
        <v>110256</v>
      </c>
      <c r="I15" s="5">
        <v>0</v>
      </c>
      <c r="J15" s="5">
        <f>9606*6</f>
        <v>57636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Table1423569481011121314235[[#This Row],[Emergency NFI]]+Table1423569481011121314235[[#This Row],[NFI Replenishment ]]+Table1423569481011121314235[[#This Row],[NFI3]]</f>
        <v>0</v>
      </c>
      <c r="F16" s="5">
        <f>Table1423569481011121314235[[#This Row],[Emergency Shelter]]+Table1423569481011121314235[[#This Row],[Shelter Upgrade/Repair]]+Table1423569481011121314235[[#This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Table1423569481011121314235[[#This Row],[Emergency NFI]]+Table1423569481011121314235[[#This Row],[NFI Replenishment ]]+Table1423569481011121314235[[#This Row],[NFI3]]</f>
        <v>2628</v>
      </c>
      <c r="F17" s="5">
        <f>Table1423569481011121314235[[#This Row],[Emergency Shelter]]+Table1423569481011121314235[[#This Row],[Shelter Upgrade/Repair]]+Table1423569481011121314235[[#This Row],[Shelter and housing options]]</f>
        <v>5100</v>
      </c>
      <c r="G17" s="5">
        <v>2628</v>
      </c>
      <c r="H17" s="5">
        <v>5100</v>
      </c>
      <c r="I17" s="5">
        <v>0</v>
      </c>
      <c r="J17" s="5">
        <v>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Table1423569481011121314235[[#This Row],[Emergency NFI]]+Table1423569481011121314235[[#This Row],[NFI Replenishment ]]+Table1423569481011121314235[[#This Row],[NFI3]]</f>
        <v>10152</v>
      </c>
      <c r="F18" s="5">
        <f>Table1423569481011121314235[[#This Row],[Emergency Shelter]]+Table1423569481011121314235[[#This Row],[Shelter Upgrade/Repair]]+Table1423569481011121314235[[#This Row],[Shelter and housing options]]</f>
        <v>54</v>
      </c>
      <c r="G18" s="5">
        <v>10152</v>
      </c>
      <c r="H18" s="5">
        <v>48</v>
      </c>
      <c r="I18" s="5">
        <v>0</v>
      </c>
      <c r="J18" s="5">
        <f>1*6</f>
        <v>6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Table1423569481011121314235[[#This Row],[Emergency NFI]]+Table1423569481011121314235[[#This Row],[NFI Replenishment ]]+Table1423569481011121314235[[#This Row],[NFI3]]</f>
        <v>0</v>
      </c>
      <c r="F19" s="5">
        <f>Table1423569481011121314235[[#This Row],[Emergency Shelter]]+Table1423569481011121314235[[#This Row],[Shelter Upgrade/Repair]]+Table1423569481011121314235[[#This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Table1423569481011121314235[[#This Row],[Emergency NFI]]+Table1423569481011121314235[[#This Row],[NFI Replenishment ]]+Table1423569481011121314235[[#This Row],[NFI3]]</f>
        <v>0</v>
      </c>
      <c r="F20" s="5">
        <f>Table1423569481011121314235[[#This Row],[Emergency Shelter]]+Table1423569481011121314235[[#This Row],[Shelter Upgrade/Repair]]+Table1423569481011121314235[[#This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38742</v>
      </c>
      <c r="F21" s="9">
        <f>Table1423569481011121314235[[#This Row],[Emergency Shelter]]+Table1423569481011121314235[[#This Row],[Shelter Upgrade/Repair]]+Table1423569481011121314235[[#This Row],[Shelter and housing options]]</f>
        <v>236826</v>
      </c>
      <c r="G21" s="9">
        <f>SUBTOTAL(109,G3:G20)</f>
        <v>38742</v>
      </c>
      <c r="H21" s="9">
        <f>SUBTOTAL(109,H3:H20)</f>
        <v>123036</v>
      </c>
      <c r="I21" s="9">
        <f t="shared" ref="I21:L21" si="0">SUBTOTAL(109,I3:I20)</f>
        <v>0</v>
      </c>
      <c r="J21" s="9">
        <f t="shared" si="0"/>
        <v>113790</v>
      </c>
      <c r="K21" s="9">
        <f t="shared" si="0"/>
        <v>0</v>
      </c>
      <c r="L21" s="9">
        <f t="shared" si="0"/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L22" si="1">D21/6</f>
        <v>387723.49999999994</v>
      </c>
      <c r="E22" s="11">
        <f t="shared" si="1"/>
        <v>6457</v>
      </c>
      <c r="F22" s="11">
        <f>Table1423569481011121314235[[#This Row],[Emergency Shelter]]+Table1423569481011121314235[[#This Row],[Shelter Upgrade/Repair]]+Table1423569481011121314235[[#This Row],[Shelter and housing options]]</f>
        <v>39471</v>
      </c>
      <c r="G22" s="11">
        <f t="shared" si="1"/>
        <v>6457</v>
      </c>
      <c r="H22" s="11">
        <f t="shared" si="1"/>
        <v>20506</v>
      </c>
      <c r="I22" s="11">
        <f t="shared" si="1"/>
        <v>0</v>
      </c>
      <c r="J22" s="11">
        <f t="shared" si="1"/>
        <v>18965</v>
      </c>
      <c r="K22" s="11">
        <f t="shared" si="1"/>
        <v>0</v>
      </c>
      <c r="L22" s="11">
        <f t="shared" si="1"/>
        <v>0</v>
      </c>
    </row>
    <row r="23" spans="1:12" x14ac:dyDescent="0.25">
      <c r="A23" s="108"/>
      <c r="B23" s="109"/>
      <c r="C23" s="110"/>
      <c r="D23" s="110"/>
      <c r="E23" s="111">
        <f>E21/D21</f>
        <v>1.665362042795962E-2</v>
      </c>
      <c r="F23" s="111">
        <f>F21/D21</f>
        <v>0.10180192843611494</v>
      </c>
      <c r="G23" s="112"/>
      <c r="H23" s="110"/>
      <c r="I23" s="112"/>
      <c r="J23" s="110"/>
      <c r="K23" s="112"/>
      <c r="L23" s="11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2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2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3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4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4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4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4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4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4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4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4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4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4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4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4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4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4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4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4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4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5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6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D33" sqref="D33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 t="s">
        <v>136</v>
      </c>
      <c r="B1" s="93"/>
      <c r="C1" s="93"/>
      <c r="D1" s="93"/>
      <c r="E1" s="134" t="s">
        <v>124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Table14235694[[#This Row],[Emergency NFI]]+Table14235694[[#This Row],[NFI Replenishment ]]+Table14235694[[#This Row],[NFI3]]</f>
        <v>93396</v>
      </c>
      <c r="F3" s="91">
        <f>Table14235694[[#This Row],[Emergency Shelter]]+Table14235694[[#This Row],[Shelter Upgrade/Repair]]+Table14235694[[#This Row],[Shelter and housing options]]</f>
        <v>25032</v>
      </c>
      <c r="G3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93396</v>
      </c>
      <c r="H3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13194</v>
      </c>
      <c r="I3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3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11682</v>
      </c>
      <c r="K3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3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156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Table14235694[[#This Row],[Emergency NFI]]+Table14235694[[#This Row],[NFI Replenishment ]]+Table14235694[[#This Row],[NFI3]]</f>
        <v>0</v>
      </c>
      <c r="F4" s="5">
        <f>Table14235694[[#This Row],[Emergency Shelter]]+Table14235694[[#This Row],[Shelter Upgrade/Repair]]+Table14235694[[#This Row],[Shelter and housing options]]</f>
        <v>210</v>
      </c>
      <c r="G4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0</v>
      </c>
      <c r="H4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0</v>
      </c>
      <c r="I4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4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0</v>
      </c>
      <c r="K4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4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210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Table14235694[[#This Row],[Emergency NFI]]+Table14235694[[#This Row],[NFI Replenishment ]]+Table14235694[[#This Row],[NFI3]]</f>
        <v>5292</v>
      </c>
      <c r="F5" s="5">
        <f>Table14235694[[#This Row],[Emergency Shelter]]+Table14235694[[#This Row],[Shelter Upgrade/Repair]]+Table14235694[[#This Row],[Shelter and housing options]]</f>
        <v>5964</v>
      </c>
      <c r="G5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5292</v>
      </c>
      <c r="H5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708</v>
      </c>
      <c r="I5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5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3288</v>
      </c>
      <c r="K5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5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1968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Table14235694[[#This Row],[Emergency NFI]]+Table14235694[[#This Row],[NFI Replenishment ]]+Table14235694[[#This Row],[NFI3]]</f>
        <v>720</v>
      </c>
      <c r="F6" s="5">
        <f>Table14235694[[#This Row],[Emergency Shelter]]+Table14235694[[#This Row],[Shelter Upgrade/Repair]]+Table14235694[[#This Row],[Shelter and housing options]]</f>
        <v>0</v>
      </c>
      <c r="G6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720</v>
      </c>
      <c r="H6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0</v>
      </c>
      <c r="I6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6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0</v>
      </c>
      <c r="K6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6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Table14235694[[#This Row],[Emergency NFI]]+Table14235694[[#This Row],[NFI Replenishment ]]+Table14235694[[#This Row],[NFI3]]</f>
        <v>8226</v>
      </c>
      <c r="F7" s="5">
        <f>Table14235694[[#This Row],[Emergency Shelter]]+Table14235694[[#This Row],[Shelter Upgrade/Repair]]+Table14235694[[#This Row],[Shelter and housing options]]</f>
        <v>64056</v>
      </c>
      <c r="G7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8226</v>
      </c>
      <c r="H7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36</v>
      </c>
      <c r="I7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7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64020</v>
      </c>
      <c r="K7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7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Table14235694[[#This Row],[Emergency NFI]]+Table14235694[[#This Row],[NFI Replenishment ]]+Table14235694[[#This Row],[NFI3]]</f>
        <v>6924</v>
      </c>
      <c r="F8" s="5">
        <f>Table14235694[[#This Row],[Emergency Shelter]]+Table14235694[[#This Row],[Shelter Upgrade/Repair]]+Table14235694[[#This Row],[Shelter and housing options]]</f>
        <v>3666</v>
      </c>
      <c r="G8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6924</v>
      </c>
      <c r="H8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12</v>
      </c>
      <c r="I8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8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3354</v>
      </c>
      <c r="K8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8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300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Table14235694[[#This Row],[Emergency NFI]]+Table14235694[[#This Row],[NFI Replenishment ]]+Table14235694[[#This Row],[NFI3]]</f>
        <v>139050</v>
      </c>
      <c r="F9" s="5">
        <f>Table14235694[[#This Row],[Emergency Shelter]]+Table14235694[[#This Row],[Shelter Upgrade/Repair]]+Table14235694[[#This Row],[Shelter and housing options]]</f>
        <v>11880</v>
      </c>
      <c r="G9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124824</v>
      </c>
      <c r="H9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4452</v>
      </c>
      <c r="I9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14226</v>
      </c>
      <c r="J9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6330</v>
      </c>
      <c r="K9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9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1098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Table14235694[[#This Row],[Emergency NFI]]+Table14235694[[#This Row],[NFI Replenishment ]]+Table14235694[[#This Row],[NFI3]]</f>
        <v>0</v>
      </c>
      <c r="F10" s="5">
        <f>Table14235694[[#This Row],[Emergency Shelter]]+Table14235694[[#This Row],[Shelter Upgrade/Repair]]+Table14235694[[#This Row],[Shelter and housing options]]</f>
        <v>204</v>
      </c>
      <c r="G10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0</v>
      </c>
      <c r="H10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0</v>
      </c>
      <c r="I10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10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0</v>
      </c>
      <c r="K10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0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204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Table14235694[[#This Row],[Emergency NFI]]+Table14235694[[#This Row],[NFI Replenishment ]]+Table14235694[[#This Row],[NFI3]]</f>
        <v>76980</v>
      </c>
      <c r="F11" s="5">
        <f>Table14235694[[#This Row],[Emergency Shelter]]+Table14235694[[#This Row],[Shelter Upgrade/Repair]]+Table14235694[[#This Row],[Shelter and housing options]]</f>
        <v>115614</v>
      </c>
      <c r="G11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75234</v>
      </c>
      <c r="H11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65928</v>
      </c>
      <c r="I11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1746</v>
      </c>
      <c r="J11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49572</v>
      </c>
      <c r="K11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1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114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Table14235694[[#This Row],[Emergency NFI]]+Table14235694[[#This Row],[NFI Replenishment ]]+Table14235694[[#This Row],[NFI3]]</f>
        <v>36</v>
      </c>
      <c r="F12" s="5">
        <f>Table14235694[[#This Row],[Emergency Shelter]]+Table14235694[[#This Row],[Shelter Upgrade/Repair]]+Table14235694[[#This Row],[Shelter and housing options]]</f>
        <v>0</v>
      </c>
      <c r="G12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36</v>
      </c>
      <c r="H12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0</v>
      </c>
      <c r="I12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12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0</v>
      </c>
      <c r="K12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2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Table14235694[[#This Row],[Emergency NFI]]+Table14235694[[#This Row],[NFI Replenishment ]]+Table14235694[[#This Row],[NFI3]]</f>
        <v>12</v>
      </c>
      <c r="F13" s="5">
        <f>Table14235694[[#This Row],[Emergency Shelter]]+Table14235694[[#This Row],[Shelter Upgrade/Repair]]+Table14235694[[#This Row],[Shelter and housing options]]</f>
        <v>0</v>
      </c>
      <c r="G13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12</v>
      </c>
      <c r="H13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0</v>
      </c>
      <c r="I13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13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0</v>
      </c>
      <c r="K13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3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Table14235694[[#This Row],[Emergency NFI]]+Table14235694[[#This Row],[NFI Replenishment ]]+Table14235694[[#This Row],[NFI3]]</f>
        <v>0</v>
      </c>
      <c r="F14" s="5">
        <f>Table14235694[[#This Row],[Emergency Shelter]]+Table14235694[[#This Row],[Shelter Upgrade/Repair]]+Table14235694[[#This Row],[Shelter and housing options]]</f>
        <v>240</v>
      </c>
      <c r="G14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0</v>
      </c>
      <c r="H14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0</v>
      </c>
      <c r="I14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14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0</v>
      </c>
      <c r="K14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4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240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Table14235694[[#This Row],[Emergency NFI]]+Table14235694[[#This Row],[NFI Replenishment ]]+Table14235694[[#This Row],[NFI3]]</f>
        <v>1178496</v>
      </c>
      <c r="F15" s="5">
        <f>Table14235694[[#This Row],[Emergency Shelter]]+Table14235694[[#This Row],[Shelter Upgrade/Repair]]+Table14235694[[#This Row],[Shelter and housing options]]</f>
        <v>581154</v>
      </c>
      <c r="G15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1177176</v>
      </c>
      <c r="H15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443562</v>
      </c>
      <c r="I15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1320</v>
      </c>
      <c r="J15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134592</v>
      </c>
      <c r="K15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5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3000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Table14235694[[#This Row],[Emergency NFI]]+Table14235694[[#This Row],[NFI Replenishment ]]+Table14235694[[#This Row],[NFI3]]</f>
        <v>300</v>
      </c>
      <c r="F16" s="5">
        <f>Table14235694[[#This Row],[Emergency Shelter]]+Table14235694[[#This Row],[Shelter Upgrade/Repair]]+Table14235694[[#This Row],[Shelter and housing options]]</f>
        <v>0</v>
      </c>
      <c r="G16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300</v>
      </c>
      <c r="H16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0</v>
      </c>
      <c r="I16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16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0</v>
      </c>
      <c r="K16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6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Table14235694[[#This Row],[Emergency NFI]]+Table14235694[[#This Row],[NFI Replenishment ]]+Table14235694[[#This Row],[NFI3]]</f>
        <v>118692</v>
      </c>
      <c r="F17" s="5">
        <f>Table14235694[[#This Row],[Emergency Shelter]]+Table14235694[[#This Row],[Shelter Upgrade/Repair]]+Table14235694[[#This Row],[Shelter and housing options]]</f>
        <v>94236</v>
      </c>
      <c r="G17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118692</v>
      </c>
      <c r="H17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60342</v>
      </c>
      <c r="I17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17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32130</v>
      </c>
      <c r="K17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7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1764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Table14235694[[#This Row],[Emergency NFI]]+Table14235694[[#This Row],[NFI Replenishment ]]+Table14235694[[#This Row],[NFI3]]</f>
        <v>11940</v>
      </c>
      <c r="F18" s="5">
        <f>Table14235694[[#This Row],[Emergency Shelter]]+Table14235694[[#This Row],[Shelter Upgrade/Repair]]+Table14235694[[#This Row],[Shelter and housing options]]</f>
        <v>12972</v>
      </c>
      <c r="G18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11940</v>
      </c>
      <c r="H18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168</v>
      </c>
      <c r="I18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18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12804</v>
      </c>
      <c r="K18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8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Table14235694[[#This Row],[Emergency NFI]]+Table14235694[[#This Row],[NFI Replenishment ]]+Table14235694[[#This Row],[NFI3]]</f>
        <v>318</v>
      </c>
      <c r="F19" s="5">
        <f>Table14235694[[#This Row],[Emergency Shelter]]+Table14235694[[#This Row],[Shelter Upgrade/Repair]]+Table14235694[[#This Row],[Shelter and housing options]]</f>
        <v>0</v>
      </c>
      <c r="G19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318</v>
      </c>
      <c r="H19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0</v>
      </c>
      <c r="I19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19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0</v>
      </c>
      <c r="K19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19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Table14235694[[#This Row],[Emergency NFI]]+Table14235694[[#This Row],[NFI Replenishment ]]+Table14235694[[#This Row],[NFI3]]</f>
        <v>0</v>
      </c>
      <c r="F20" s="5">
        <f>Table14235694[[#This Row],[Emergency Shelter]]+Table14235694[[#This Row],[Shelter Upgrade/Repair]]+Table14235694[[#This Row],[Shelter and housing options]]</f>
        <v>0</v>
      </c>
      <c r="G20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NFI]]+Table142356948101112131423[[#This Row],[Emergency NFI]]+Table1423569481011121314235[[#This Row],[Emergency NFI]]</f>
        <v>0</v>
      </c>
      <c r="H20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Shelter]]+Table142356948101112131423[[#This Row],[Emergency Shelter]]+Table1423569481011121314235[[#This Row],[Emergency Shelter]]</f>
        <v>0</v>
      </c>
      <c r="I20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]]+Table142356948101112131423[[#This Row],[NFI Replenishment ]]+Table1423569481011121314235[[#This Row],[NFI Replenishment ]]</f>
        <v>0</v>
      </c>
      <c r="J20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Upgrade/Repair]]+Table142356948101112131423[[#This Row],[Shelter Upgrade/Repair]]+Table1423569481011121314235[[#This Row],[Shelter Upgrade/Repair]]</f>
        <v>0</v>
      </c>
      <c r="K20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Row],[NFI3]]+Table142356948101112131423[[#This Row],[NFI3]]+Table1423569481011121314235[[#This Row],[NFI3]]</f>
        <v>0</v>
      </c>
      <c r="L20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options]]+Table142356948101112131423[[#This Row],[Shelter and housing options]]+Table1423569481011121314235[[#This Row],[Shelter and housing options]]</f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1640382</v>
      </c>
      <c r="F21" s="9">
        <f>Table14235694[[#This Row],[Emergency Shelter]]+Table14235694[[#This Row],[Shelter Upgrade/Repair]]+Table14235694[[#This Row],[Shelter and housing options]]</f>
        <v>915228</v>
      </c>
      <c r="G21" s="9">
        <f>SUBTOTAL(109,G3:G20)</f>
        <v>1623090</v>
      </c>
      <c r="H21" s="9">
        <f>SUBTOTAL(109,H3:H20)</f>
        <v>588402</v>
      </c>
      <c r="I21" s="9">
        <f t="shared" ref="I21:K21" si="0">SUBTOTAL(109,I3:I20)</f>
        <v>17292</v>
      </c>
      <c r="J21" s="9">
        <f t="shared" ref="J21" si="1">SUBTOTAL(109,J3:J20)</f>
        <v>317772</v>
      </c>
      <c r="K21" s="9">
        <f t="shared" si="0"/>
        <v>0</v>
      </c>
      <c r="L21" s="9">
        <f t="shared" ref="L21" si="2">SUBTOTAL(109,L3:L20)</f>
        <v>9054</v>
      </c>
    </row>
    <row r="22" spans="1:12" x14ac:dyDescent="0.25">
      <c r="A22" s="97" t="s">
        <v>44</v>
      </c>
      <c r="B22" s="97"/>
      <c r="C22" s="98">
        <f>C21/6</f>
        <v>647166.66666666663</v>
      </c>
      <c r="D22" s="98">
        <f t="shared" ref="D22:K22" si="3">D21/6</f>
        <v>387723.49999999994</v>
      </c>
      <c r="E22" s="98">
        <f t="shared" si="3"/>
        <v>273397</v>
      </c>
      <c r="F22" s="98">
        <f>Table14235694[[#This Row],[Emergency Shelter]]+Table14235694[[#This Row],[Shelter Upgrade/Repair]]+Table14235694[[#This Row],[Shelter and housing options]]</f>
        <v>152538</v>
      </c>
      <c r="G22" s="98">
        <f t="shared" si="3"/>
        <v>270515</v>
      </c>
      <c r="H22" s="98">
        <f t="shared" ref="H22" si="4">H21/6</f>
        <v>98067</v>
      </c>
      <c r="I22" s="98">
        <f t="shared" si="3"/>
        <v>2882</v>
      </c>
      <c r="J22" s="98">
        <f t="shared" ref="J22" si="5">J21/6</f>
        <v>52962</v>
      </c>
      <c r="K22" s="98">
        <f t="shared" si="3"/>
        <v>0</v>
      </c>
      <c r="L22" s="98">
        <f t="shared" ref="L22" si="6">L21/6</f>
        <v>1509</v>
      </c>
    </row>
    <row r="23" spans="1:12" x14ac:dyDescent="0.25">
      <c r="A23" s="108"/>
      <c r="B23" s="109"/>
      <c r="C23" s="110"/>
      <c r="D23" s="110"/>
      <c r="E23" s="111">
        <f>E21/D21</f>
        <v>0.70513394210049185</v>
      </c>
      <c r="F23" s="111">
        <f>F21/D21</f>
        <v>0.39341953737650681</v>
      </c>
      <c r="G23" s="112"/>
      <c r="H23" s="110"/>
      <c r="I23" s="112"/>
      <c r="J23" s="110"/>
      <c r="K23" s="112"/>
      <c r="L23" s="11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G1:H1"/>
    <mergeCell ref="I1:J1"/>
    <mergeCell ref="K1:L1"/>
    <mergeCell ref="E1:F1"/>
  </mergeCells>
  <printOptions horizontalCentered="1"/>
  <pageMargins left="0.25" right="0.25" top="0.25" bottom="0.25" header="0.3" footer="0.3"/>
  <pageSetup paperSize="9" scale="64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="80" zoomScaleNormal="80" workbookViewId="0">
      <selection activeCell="L1" sqref="L1"/>
    </sheetView>
  </sheetViews>
  <sheetFormatPr defaultRowHeight="15" x14ac:dyDescent="0.25"/>
  <cols>
    <col min="1" max="1" width="47.85546875" style="4" customWidth="1"/>
    <col min="2" max="2" width="51.7109375" style="4" customWidth="1"/>
    <col min="3" max="3" width="32.7109375" style="4" bestFit="1" customWidth="1"/>
    <col min="4" max="5" width="17.85546875" style="4" bestFit="1" customWidth="1"/>
    <col min="6" max="6" width="9.85546875" style="4" bestFit="1" customWidth="1"/>
    <col min="7" max="7" width="5.7109375" style="4" bestFit="1" customWidth="1"/>
    <col min="8" max="8" width="7.85546875" style="4" bestFit="1" customWidth="1"/>
    <col min="9" max="9" width="8.140625" style="4" bestFit="1" customWidth="1"/>
    <col min="10" max="10" width="10.85546875" style="4" bestFit="1" customWidth="1"/>
    <col min="11" max="11" width="13.42578125" style="4" customWidth="1"/>
    <col min="12" max="16384" width="9.140625" style="4"/>
  </cols>
  <sheetData>
    <row r="1" spans="1:11" x14ac:dyDescent="0.25">
      <c r="A1" s="80" t="s">
        <v>114</v>
      </c>
      <c r="J1" s="85" t="s">
        <v>118</v>
      </c>
      <c r="K1" s="86">
        <v>42886</v>
      </c>
    </row>
    <row r="2" spans="1:11" x14ac:dyDescent="0.25">
      <c r="A2" t="s">
        <v>115</v>
      </c>
    </row>
    <row r="4" spans="1:11" ht="15" customHeight="1" x14ac:dyDescent="0.25">
      <c r="A4" s="77" t="s">
        <v>69</v>
      </c>
      <c r="B4" s="158" t="s">
        <v>70</v>
      </c>
      <c r="C4" s="159"/>
      <c r="D4" s="159"/>
      <c r="E4" s="159"/>
      <c r="F4" s="159"/>
      <c r="G4" s="159"/>
      <c r="H4" s="159"/>
      <c r="I4" s="159"/>
      <c r="J4" s="159"/>
      <c r="K4" s="160"/>
    </row>
    <row r="5" spans="1:11" x14ac:dyDescent="0.25">
      <c r="A5" s="77" t="s">
        <v>71</v>
      </c>
      <c r="B5" s="78" t="s">
        <v>72</v>
      </c>
      <c r="C5" s="78"/>
      <c r="D5" s="82"/>
      <c r="E5" s="83"/>
      <c r="F5" s="83"/>
      <c r="G5" s="83"/>
      <c r="H5" s="84"/>
      <c r="I5" s="153" t="s">
        <v>81</v>
      </c>
      <c r="J5" s="154"/>
      <c r="K5" s="155"/>
    </row>
    <row r="6" spans="1:11" ht="15" customHeight="1" x14ac:dyDescent="0.25">
      <c r="A6" s="136" t="s">
        <v>73</v>
      </c>
      <c r="B6" s="137" t="s">
        <v>74</v>
      </c>
      <c r="C6" s="136" t="s">
        <v>75</v>
      </c>
      <c r="D6" s="136" t="s">
        <v>76</v>
      </c>
      <c r="E6" s="79" t="s">
        <v>77</v>
      </c>
      <c r="F6" s="137" t="s">
        <v>39</v>
      </c>
      <c r="G6" s="137" t="s">
        <v>79</v>
      </c>
      <c r="H6" s="137" t="s">
        <v>80</v>
      </c>
      <c r="I6" s="148" t="s">
        <v>116</v>
      </c>
      <c r="J6" s="151" t="s">
        <v>117</v>
      </c>
      <c r="K6" s="156" t="s">
        <v>134</v>
      </c>
    </row>
    <row r="7" spans="1:11" x14ac:dyDescent="0.25">
      <c r="A7" s="136"/>
      <c r="B7" s="137"/>
      <c r="C7" s="136"/>
      <c r="D7" s="136"/>
      <c r="E7" s="79" t="s">
        <v>78</v>
      </c>
      <c r="F7" s="137"/>
      <c r="G7" s="137"/>
      <c r="H7" s="137"/>
      <c r="I7" s="148"/>
      <c r="J7" s="151"/>
      <c r="K7" s="157"/>
    </row>
    <row r="8" spans="1:11" x14ac:dyDescent="0.25">
      <c r="A8" s="143" t="s">
        <v>82</v>
      </c>
      <c r="B8" s="143" t="s">
        <v>83</v>
      </c>
      <c r="C8" s="144" t="s">
        <v>84</v>
      </c>
      <c r="D8" s="145" t="s">
        <v>85</v>
      </c>
      <c r="E8" s="146" t="s">
        <v>86</v>
      </c>
      <c r="F8" s="147">
        <v>344258</v>
      </c>
      <c r="G8" s="142">
        <v>0.45</v>
      </c>
      <c r="H8" s="142">
        <v>0.55000000000000004</v>
      </c>
      <c r="I8" s="161">
        <v>61875</v>
      </c>
      <c r="J8" s="163">
        <f>I8*6</f>
        <v>371250</v>
      </c>
      <c r="K8" s="165">
        <f>J8/F8</f>
        <v>1.0784063115454108</v>
      </c>
    </row>
    <row r="9" spans="1:11" x14ac:dyDescent="0.25">
      <c r="A9" s="143"/>
      <c r="B9" s="143"/>
      <c r="C9" s="144"/>
      <c r="D9" s="145"/>
      <c r="E9" s="146"/>
      <c r="F9" s="147"/>
      <c r="G9" s="142"/>
      <c r="H9" s="142"/>
      <c r="I9" s="162"/>
      <c r="J9" s="164"/>
      <c r="K9" s="166"/>
    </row>
    <row r="10" spans="1:11" x14ac:dyDescent="0.25">
      <c r="A10" s="143" t="s">
        <v>87</v>
      </c>
      <c r="B10" s="143" t="s">
        <v>88</v>
      </c>
      <c r="C10" s="144" t="s">
        <v>89</v>
      </c>
      <c r="D10" s="145" t="s">
        <v>85</v>
      </c>
      <c r="E10" s="146" t="s">
        <v>90</v>
      </c>
      <c r="F10" s="147">
        <v>1190204</v>
      </c>
      <c r="G10" s="142">
        <v>0.45</v>
      </c>
      <c r="H10" s="142">
        <v>0.55000000000000004</v>
      </c>
      <c r="I10" s="161">
        <v>173417</v>
      </c>
      <c r="J10" s="163">
        <f>I10*6</f>
        <v>1040502</v>
      </c>
      <c r="K10" s="165">
        <f>J10/F10</f>
        <v>0.87422156201793977</v>
      </c>
    </row>
    <row r="11" spans="1:11" x14ac:dyDescent="0.25">
      <c r="A11" s="143"/>
      <c r="B11" s="143"/>
      <c r="C11" s="144"/>
      <c r="D11" s="145"/>
      <c r="E11" s="146"/>
      <c r="F11" s="147"/>
      <c r="G11" s="142"/>
      <c r="H11" s="142"/>
      <c r="I11" s="162"/>
      <c r="J11" s="164"/>
      <c r="K11" s="166"/>
    </row>
    <row r="12" spans="1:11" x14ac:dyDescent="0.25">
      <c r="J12" s="81"/>
    </row>
    <row r="13" spans="1:11" ht="15" customHeight="1" x14ac:dyDescent="0.25">
      <c r="A13" s="77" t="s">
        <v>91</v>
      </c>
      <c r="B13" s="158" t="s">
        <v>92</v>
      </c>
      <c r="C13" s="159"/>
      <c r="D13" s="159"/>
      <c r="E13" s="159"/>
      <c r="F13" s="159"/>
      <c r="G13" s="159"/>
      <c r="H13" s="159"/>
      <c r="I13" s="159"/>
      <c r="J13" s="159"/>
      <c r="K13" s="160"/>
    </row>
    <row r="14" spans="1:11" x14ac:dyDescent="0.25">
      <c r="A14" s="77" t="s">
        <v>71</v>
      </c>
      <c r="B14" s="78" t="s">
        <v>93</v>
      </c>
      <c r="C14" s="78"/>
      <c r="D14" s="152"/>
      <c r="E14" s="152"/>
      <c r="F14" s="152"/>
      <c r="G14" s="152"/>
      <c r="H14" s="152"/>
      <c r="I14" s="153" t="s">
        <v>81</v>
      </c>
      <c r="J14" s="154"/>
      <c r="K14" s="155"/>
    </row>
    <row r="15" spans="1:11" ht="15" customHeight="1" x14ac:dyDescent="0.25">
      <c r="A15" s="136" t="s">
        <v>73</v>
      </c>
      <c r="B15" s="137" t="s">
        <v>74</v>
      </c>
      <c r="C15" s="136" t="s">
        <v>75</v>
      </c>
      <c r="D15" s="138" t="s">
        <v>76</v>
      </c>
      <c r="E15" s="79" t="s">
        <v>77</v>
      </c>
      <c r="F15" s="140" t="s">
        <v>39</v>
      </c>
      <c r="G15" s="140" t="s">
        <v>79</v>
      </c>
      <c r="H15" s="140" t="s">
        <v>80</v>
      </c>
      <c r="I15" s="148" t="s">
        <v>116</v>
      </c>
      <c r="J15" s="151" t="s">
        <v>117</v>
      </c>
      <c r="K15" s="156" t="s">
        <v>134</v>
      </c>
    </row>
    <row r="16" spans="1:11" x14ac:dyDescent="0.25">
      <c r="A16" s="136"/>
      <c r="B16" s="137"/>
      <c r="C16" s="136"/>
      <c r="D16" s="139"/>
      <c r="E16" s="79" t="s">
        <v>78</v>
      </c>
      <c r="F16" s="141"/>
      <c r="G16" s="141"/>
      <c r="H16" s="141"/>
      <c r="I16" s="148"/>
      <c r="J16" s="151"/>
      <c r="K16" s="157"/>
    </row>
    <row r="17" spans="1:11" x14ac:dyDescent="0.25">
      <c r="A17" s="143" t="s">
        <v>94</v>
      </c>
      <c r="B17" s="143" t="s">
        <v>95</v>
      </c>
      <c r="C17" s="144" t="s">
        <v>96</v>
      </c>
      <c r="D17" s="145" t="s">
        <v>85</v>
      </c>
      <c r="E17" s="146" t="s">
        <v>97</v>
      </c>
      <c r="F17" s="147">
        <v>256530</v>
      </c>
      <c r="G17" s="142">
        <v>0.45</v>
      </c>
      <c r="H17" s="142">
        <v>0.55000000000000004</v>
      </c>
      <c r="I17" s="163">
        <v>28</v>
      </c>
      <c r="J17" s="163">
        <f>I17*6</f>
        <v>168</v>
      </c>
      <c r="K17" s="167">
        <f>J17/F17</f>
        <v>6.548941644252134E-4</v>
      </c>
    </row>
    <row r="18" spans="1:11" x14ac:dyDescent="0.25">
      <c r="A18" s="143"/>
      <c r="B18" s="143"/>
      <c r="C18" s="144"/>
      <c r="D18" s="145"/>
      <c r="E18" s="146"/>
      <c r="F18" s="147"/>
      <c r="G18" s="142"/>
      <c r="H18" s="142"/>
      <c r="I18" s="164"/>
      <c r="J18" s="164"/>
      <c r="K18" s="168"/>
    </row>
    <row r="19" spans="1:11" x14ac:dyDescent="0.25">
      <c r="A19" s="143" t="s">
        <v>98</v>
      </c>
      <c r="B19" s="143" t="s">
        <v>99</v>
      </c>
      <c r="C19" s="144" t="s">
        <v>96</v>
      </c>
      <c r="D19" s="145" t="s">
        <v>85</v>
      </c>
      <c r="E19" s="146" t="s">
        <v>100</v>
      </c>
      <c r="F19" s="147">
        <v>12234</v>
      </c>
      <c r="G19" s="142">
        <v>0.45</v>
      </c>
      <c r="H19" s="142">
        <v>0.55000000000000004</v>
      </c>
      <c r="I19" s="163">
        <v>1030</v>
      </c>
      <c r="J19" s="163">
        <f>I19*6</f>
        <v>6180</v>
      </c>
      <c r="K19" s="165">
        <f t="shared" ref="K19" si="0">J19/F19</f>
        <v>0.50514958312898484</v>
      </c>
    </row>
    <row r="20" spans="1:11" x14ac:dyDescent="0.25">
      <c r="A20" s="143"/>
      <c r="B20" s="143"/>
      <c r="C20" s="144"/>
      <c r="D20" s="145"/>
      <c r="E20" s="146"/>
      <c r="F20" s="147"/>
      <c r="G20" s="142"/>
      <c r="H20" s="142"/>
      <c r="I20" s="164"/>
      <c r="J20" s="164"/>
      <c r="K20" s="166"/>
    </row>
    <row r="21" spans="1:11" x14ac:dyDescent="0.25">
      <c r="A21" s="143" t="s">
        <v>101</v>
      </c>
      <c r="B21" s="143" t="s">
        <v>102</v>
      </c>
      <c r="C21" s="144" t="s">
        <v>89</v>
      </c>
      <c r="D21" s="145" t="s">
        <v>85</v>
      </c>
      <c r="E21" s="146" t="s">
        <v>103</v>
      </c>
      <c r="F21" s="147">
        <v>382978</v>
      </c>
      <c r="G21" s="142">
        <v>0.45</v>
      </c>
      <c r="H21" s="142">
        <v>0.55000000000000004</v>
      </c>
      <c r="I21" s="163">
        <v>18806</v>
      </c>
      <c r="J21" s="163">
        <f>I21*6</f>
        <v>112836</v>
      </c>
      <c r="K21" s="167">
        <f t="shared" ref="K21" si="1">J21/F21</f>
        <v>0.29462788985268085</v>
      </c>
    </row>
    <row r="22" spans="1:11" x14ac:dyDescent="0.25">
      <c r="A22" s="143"/>
      <c r="B22" s="143"/>
      <c r="C22" s="144"/>
      <c r="D22" s="145"/>
      <c r="E22" s="146"/>
      <c r="F22" s="147"/>
      <c r="G22" s="142"/>
      <c r="H22" s="142"/>
      <c r="I22" s="164"/>
      <c r="J22" s="164"/>
      <c r="K22" s="168"/>
    </row>
    <row r="23" spans="1:11" x14ac:dyDescent="0.25">
      <c r="A23" s="143" t="s">
        <v>104</v>
      </c>
      <c r="B23" s="143" t="s">
        <v>105</v>
      </c>
      <c r="C23" s="144" t="s">
        <v>89</v>
      </c>
      <c r="D23" s="145" t="s">
        <v>85</v>
      </c>
      <c r="E23" s="146" t="s">
        <v>106</v>
      </c>
      <c r="F23" s="147">
        <v>100246</v>
      </c>
      <c r="G23" s="142">
        <v>0.45</v>
      </c>
      <c r="H23" s="142">
        <v>0.55000000000000004</v>
      </c>
      <c r="I23" s="163">
        <v>1980</v>
      </c>
      <c r="J23" s="163">
        <f>I23*6</f>
        <v>11880</v>
      </c>
      <c r="K23" s="167">
        <f t="shared" ref="K23" si="2">J23/F23</f>
        <v>0.118508469165852</v>
      </c>
    </row>
    <row r="24" spans="1:11" x14ac:dyDescent="0.25">
      <c r="A24" s="143"/>
      <c r="B24" s="143"/>
      <c r="C24" s="144"/>
      <c r="D24" s="145"/>
      <c r="E24" s="146"/>
      <c r="F24" s="147"/>
      <c r="G24" s="142"/>
      <c r="H24" s="142"/>
      <c r="I24" s="164"/>
      <c r="J24" s="164"/>
      <c r="K24" s="168"/>
    </row>
    <row r="25" spans="1:11" x14ac:dyDescent="0.25">
      <c r="J25" s="81"/>
    </row>
    <row r="26" spans="1:11" ht="15" customHeight="1" x14ac:dyDescent="0.25">
      <c r="A26" s="77" t="s">
        <v>107</v>
      </c>
      <c r="B26" s="158" t="s">
        <v>108</v>
      </c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1" x14ac:dyDescent="0.25">
      <c r="A27" s="77" t="s">
        <v>71</v>
      </c>
      <c r="B27" s="78" t="s">
        <v>109</v>
      </c>
      <c r="C27" s="78"/>
      <c r="D27" s="152"/>
      <c r="E27" s="152"/>
      <c r="F27" s="152"/>
      <c r="G27" s="152"/>
      <c r="H27" s="152"/>
      <c r="I27" s="153" t="s">
        <v>81</v>
      </c>
      <c r="J27" s="154"/>
      <c r="K27" s="155"/>
    </row>
    <row r="28" spans="1:11" ht="15" customHeight="1" x14ac:dyDescent="0.25">
      <c r="A28" s="136" t="s">
        <v>73</v>
      </c>
      <c r="B28" s="137" t="s">
        <v>74</v>
      </c>
      <c r="C28" s="136" t="s">
        <v>75</v>
      </c>
      <c r="D28" s="136" t="s">
        <v>76</v>
      </c>
      <c r="E28" s="79" t="s">
        <v>77</v>
      </c>
      <c r="F28" s="137" t="s">
        <v>39</v>
      </c>
      <c r="G28" s="137" t="s">
        <v>79</v>
      </c>
      <c r="H28" s="137" t="s">
        <v>80</v>
      </c>
      <c r="I28" s="148" t="s">
        <v>116</v>
      </c>
      <c r="J28" s="151" t="s">
        <v>117</v>
      </c>
      <c r="K28" s="156" t="s">
        <v>134</v>
      </c>
    </row>
    <row r="29" spans="1:11" x14ac:dyDescent="0.25">
      <c r="A29" s="136"/>
      <c r="B29" s="137"/>
      <c r="C29" s="136"/>
      <c r="D29" s="136"/>
      <c r="E29" s="79" t="s">
        <v>78</v>
      </c>
      <c r="F29" s="137"/>
      <c r="G29" s="137"/>
      <c r="H29" s="137"/>
      <c r="I29" s="148"/>
      <c r="J29" s="151"/>
      <c r="K29" s="157"/>
    </row>
    <row r="30" spans="1:11" x14ac:dyDescent="0.25">
      <c r="A30" s="149" t="s">
        <v>110</v>
      </c>
      <c r="B30" s="143" t="s">
        <v>111</v>
      </c>
      <c r="C30" s="144" t="s">
        <v>89</v>
      </c>
      <c r="D30" s="145" t="s">
        <v>112</v>
      </c>
      <c r="E30" s="146" t="s">
        <v>113</v>
      </c>
      <c r="F30" s="147">
        <v>41534</v>
      </c>
      <c r="G30" s="142">
        <v>0.45</v>
      </c>
      <c r="H30" s="142">
        <v>0.55000000000000004</v>
      </c>
      <c r="I30" s="163">
        <v>909</v>
      </c>
      <c r="J30" s="163">
        <f>I30*6</f>
        <v>5454</v>
      </c>
      <c r="K30" s="167">
        <f t="shared" ref="K30" si="3">J30/F30</f>
        <v>0.13131410410747821</v>
      </c>
    </row>
    <row r="31" spans="1:11" x14ac:dyDescent="0.25">
      <c r="A31" s="150"/>
      <c r="B31" s="143"/>
      <c r="C31" s="144"/>
      <c r="D31" s="145"/>
      <c r="E31" s="146"/>
      <c r="F31" s="147"/>
      <c r="G31" s="142"/>
      <c r="H31" s="142"/>
      <c r="I31" s="164"/>
      <c r="J31" s="164"/>
      <c r="K31" s="168"/>
    </row>
  </sheetData>
  <mergeCells count="115">
    <mergeCell ref="I30:I31"/>
    <mergeCell ref="B26:K26"/>
    <mergeCell ref="J28:J29"/>
    <mergeCell ref="K28:K29"/>
    <mergeCell ref="J30:J31"/>
    <mergeCell ref="K17:K18"/>
    <mergeCell ref="K19:K20"/>
    <mergeCell ref="K21:K22"/>
    <mergeCell ref="K23:K24"/>
    <mergeCell ref="K30:K31"/>
    <mergeCell ref="J23:J24"/>
    <mergeCell ref="I17:I18"/>
    <mergeCell ref="I19:I20"/>
    <mergeCell ref="I21:I22"/>
    <mergeCell ref="I23:I24"/>
    <mergeCell ref="D27:H27"/>
    <mergeCell ref="I27:K27"/>
    <mergeCell ref="G30:G31"/>
    <mergeCell ref="H30:H31"/>
    <mergeCell ref="J17:J18"/>
    <mergeCell ref="J19:J20"/>
    <mergeCell ref="J21:J22"/>
    <mergeCell ref="G28:G29"/>
    <mergeCell ref="H28:H29"/>
    <mergeCell ref="J15:J16"/>
    <mergeCell ref="D14:H14"/>
    <mergeCell ref="I14:K14"/>
    <mergeCell ref="K15:K16"/>
    <mergeCell ref="B4:K4"/>
    <mergeCell ref="I8:I9"/>
    <mergeCell ref="J8:J9"/>
    <mergeCell ref="K8:K9"/>
    <mergeCell ref="I10:I11"/>
    <mergeCell ref="J10:J11"/>
    <mergeCell ref="K10:K11"/>
    <mergeCell ref="J6:J7"/>
    <mergeCell ref="K6:K7"/>
    <mergeCell ref="I5:K5"/>
    <mergeCell ref="B13:K13"/>
    <mergeCell ref="G10:G11"/>
    <mergeCell ref="H10:H11"/>
    <mergeCell ref="I6:I7"/>
    <mergeCell ref="I15:I16"/>
    <mergeCell ref="C8:C9"/>
    <mergeCell ref="D8:D9"/>
    <mergeCell ref="E8:E9"/>
    <mergeCell ref="F8:F9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F28:F29"/>
    <mergeCell ref="I28:I29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6:A7"/>
    <mergeCell ref="B6:B7"/>
    <mergeCell ref="C6:C7"/>
    <mergeCell ref="D6:D7"/>
    <mergeCell ref="F6:F7"/>
    <mergeCell ref="G6:G7"/>
    <mergeCell ref="H6:H7"/>
    <mergeCell ref="A15:A16"/>
    <mergeCell ref="B15:B16"/>
    <mergeCell ref="C15:C16"/>
    <mergeCell ref="D15:D16"/>
    <mergeCell ref="F15:F16"/>
    <mergeCell ref="G15:G16"/>
    <mergeCell ref="H15:H16"/>
    <mergeCell ref="G8:G9"/>
    <mergeCell ref="H8:H9"/>
    <mergeCell ref="A10:A11"/>
    <mergeCell ref="B10:B11"/>
    <mergeCell ref="C10:C11"/>
    <mergeCell ref="D10:D11"/>
    <mergeCell ref="E10:E11"/>
    <mergeCell ref="F10:F11"/>
    <mergeCell ref="A8:A9"/>
    <mergeCell ref="B8:B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="80" zoomScaleNormal="80" workbookViewId="0">
      <selection activeCell="L1" sqref="L1"/>
    </sheetView>
  </sheetViews>
  <sheetFormatPr defaultRowHeight="15" x14ac:dyDescent="0.25"/>
  <cols>
    <col min="1" max="1" width="47.85546875" style="4" customWidth="1"/>
    <col min="2" max="2" width="51.7109375" style="4" customWidth="1"/>
    <col min="3" max="3" width="32.7109375" style="4" bestFit="1" customWidth="1"/>
    <col min="4" max="5" width="17.85546875" style="4" bestFit="1" customWidth="1"/>
    <col min="6" max="6" width="9.85546875" style="4" bestFit="1" customWidth="1"/>
    <col min="7" max="7" width="5.7109375" style="4" bestFit="1" customWidth="1"/>
    <col min="8" max="8" width="7.85546875" style="4" bestFit="1" customWidth="1"/>
    <col min="9" max="9" width="8.140625" style="4" bestFit="1" customWidth="1"/>
    <col min="10" max="10" width="10.85546875" style="4" bestFit="1" customWidth="1"/>
    <col min="11" max="11" width="13.42578125" style="4" customWidth="1"/>
    <col min="12" max="16384" width="9.140625" style="4"/>
  </cols>
  <sheetData>
    <row r="1" spans="1:11" x14ac:dyDescent="0.25">
      <c r="A1" s="80" t="s">
        <v>114</v>
      </c>
      <c r="J1" s="85" t="s">
        <v>118</v>
      </c>
      <c r="K1" s="86">
        <v>42916</v>
      </c>
    </row>
    <row r="2" spans="1:11" x14ac:dyDescent="0.25">
      <c r="A2" t="s">
        <v>115</v>
      </c>
    </row>
    <row r="4" spans="1:11" ht="15" customHeight="1" x14ac:dyDescent="0.25">
      <c r="A4" s="88" t="s">
        <v>69</v>
      </c>
      <c r="B4" s="158" t="s">
        <v>70</v>
      </c>
      <c r="C4" s="159"/>
      <c r="D4" s="159"/>
      <c r="E4" s="159"/>
      <c r="F4" s="159"/>
      <c r="G4" s="159"/>
      <c r="H4" s="159"/>
      <c r="I4" s="159"/>
      <c r="J4" s="159"/>
      <c r="K4" s="160"/>
    </row>
    <row r="5" spans="1:11" x14ac:dyDescent="0.25">
      <c r="A5" s="88" t="s">
        <v>71</v>
      </c>
      <c r="B5" s="78" t="s">
        <v>72</v>
      </c>
      <c r="C5" s="78"/>
      <c r="D5" s="82"/>
      <c r="E5" s="83"/>
      <c r="F5" s="83"/>
      <c r="G5" s="83"/>
      <c r="H5" s="84"/>
      <c r="I5" s="153" t="s">
        <v>81</v>
      </c>
      <c r="J5" s="154"/>
      <c r="K5" s="155"/>
    </row>
    <row r="6" spans="1:11" ht="15" customHeight="1" x14ac:dyDescent="0.25">
      <c r="A6" s="136" t="s">
        <v>73</v>
      </c>
      <c r="B6" s="137" t="s">
        <v>74</v>
      </c>
      <c r="C6" s="136" t="s">
        <v>75</v>
      </c>
      <c r="D6" s="136" t="s">
        <v>76</v>
      </c>
      <c r="E6" s="87" t="s">
        <v>77</v>
      </c>
      <c r="F6" s="137" t="s">
        <v>39</v>
      </c>
      <c r="G6" s="137" t="s">
        <v>79</v>
      </c>
      <c r="H6" s="137" t="s">
        <v>80</v>
      </c>
      <c r="I6" s="148" t="s">
        <v>116</v>
      </c>
      <c r="J6" s="151" t="s">
        <v>117</v>
      </c>
      <c r="K6" s="156" t="s">
        <v>134</v>
      </c>
    </row>
    <row r="7" spans="1:11" x14ac:dyDescent="0.25">
      <c r="A7" s="136"/>
      <c r="B7" s="137"/>
      <c r="C7" s="136"/>
      <c r="D7" s="136"/>
      <c r="E7" s="87" t="s">
        <v>78</v>
      </c>
      <c r="F7" s="137"/>
      <c r="G7" s="137"/>
      <c r="H7" s="137"/>
      <c r="I7" s="148"/>
      <c r="J7" s="151"/>
      <c r="K7" s="157"/>
    </row>
    <row r="8" spans="1:11" x14ac:dyDescent="0.25">
      <c r="A8" s="143" t="s">
        <v>82</v>
      </c>
      <c r="B8" s="143" t="s">
        <v>83</v>
      </c>
      <c r="C8" s="144" t="s">
        <v>84</v>
      </c>
      <c r="D8" s="145" t="s">
        <v>85</v>
      </c>
      <c r="E8" s="146" t="s">
        <v>86</v>
      </c>
      <c r="F8" s="147">
        <v>344258</v>
      </c>
      <c r="G8" s="142">
        <v>0.45</v>
      </c>
      <c r="H8" s="142">
        <v>0.55000000000000004</v>
      </c>
      <c r="I8" s="161">
        <v>63591</v>
      </c>
      <c r="J8" s="163">
        <f>I8*6</f>
        <v>381546</v>
      </c>
      <c r="K8" s="165">
        <f>J8/F8</f>
        <v>1.10831411325227</v>
      </c>
    </row>
    <row r="9" spans="1:11" x14ac:dyDescent="0.25">
      <c r="A9" s="143"/>
      <c r="B9" s="143"/>
      <c r="C9" s="144"/>
      <c r="D9" s="145"/>
      <c r="E9" s="146"/>
      <c r="F9" s="147"/>
      <c r="G9" s="142"/>
      <c r="H9" s="142"/>
      <c r="I9" s="162"/>
      <c r="J9" s="164"/>
      <c r="K9" s="166"/>
    </row>
    <row r="10" spans="1:11" x14ac:dyDescent="0.25">
      <c r="A10" s="143" t="s">
        <v>87</v>
      </c>
      <c r="B10" s="143" t="s">
        <v>88</v>
      </c>
      <c r="C10" s="144" t="s">
        <v>89</v>
      </c>
      <c r="D10" s="145" t="s">
        <v>85</v>
      </c>
      <c r="E10" s="146" t="s">
        <v>90</v>
      </c>
      <c r="F10" s="147">
        <v>1190204</v>
      </c>
      <c r="G10" s="142">
        <v>0.45</v>
      </c>
      <c r="H10" s="142">
        <v>0.55000000000000004</v>
      </c>
      <c r="I10" s="161">
        <v>188170</v>
      </c>
      <c r="J10" s="163">
        <f>I10*6</f>
        <v>1129020</v>
      </c>
      <c r="K10" s="165">
        <f>J10/F10</f>
        <v>0.94859368646047237</v>
      </c>
    </row>
    <row r="11" spans="1:11" x14ac:dyDescent="0.25">
      <c r="A11" s="143"/>
      <c r="B11" s="143"/>
      <c r="C11" s="144"/>
      <c r="D11" s="145"/>
      <c r="E11" s="146"/>
      <c r="F11" s="147"/>
      <c r="G11" s="142"/>
      <c r="H11" s="142"/>
      <c r="I11" s="162"/>
      <c r="J11" s="164"/>
      <c r="K11" s="166"/>
    </row>
    <row r="12" spans="1:11" x14ac:dyDescent="0.25">
      <c r="J12" s="81"/>
    </row>
    <row r="13" spans="1:11" ht="15" customHeight="1" x14ac:dyDescent="0.25">
      <c r="A13" s="88" t="s">
        <v>91</v>
      </c>
      <c r="B13" s="158" t="s">
        <v>92</v>
      </c>
      <c r="C13" s="159"/>
      <c r="D13" s="159"/>
      <c r="E13" s="159"/>
      <c r="F13" s="159"/>
      <c r="G13" s="159"/>
      <c r="H13" s="159"/>
      <c r="I13" s="159"/>
      <c r="J13" s="159"/>
      <c r="K13" s="160"/>
    </row>
    <row r="14" spans="1:11" x14ac:dyDescent="0.25">
      <c r="A14" s="88" t="s">
        <v>71</v>
      </c>
      <c r="B14" s="78" t="s">
        <v>93</v>
      </c>
      <c r="C14" s="78"/>
      <c r="D14" s="152"/>
      <c r="E14" s="152"/>
      <c r="F14" s="152"/>
      <c r="G14" s="152"/>
      <c r="H14" s="152"/>
      <c r="I14" s="153" t="s">
        <v>81</v>
      </c>
      <c r="J14" s="154"/>
      <c r="K14" s="155"/>
    </row>
    <row r="15" spans="1:11" ht="15" customHeight="1" x14ac:dyDescent="0.25">
      <c r="A15" s="136" t="s">
        <v>73</v>
      </c>
      <c r="B15" s="137" t="s">
        <v>74</v>
      </c>
      <c r="C15" s="136" t="s">
        <v>75</v>
      </c>
      <c r="D15" s="138" t="s">
        <v>76</v>
      </c>
      <c r="E15" s="87" t="s">
        <v>77</v>
      </c>
      <c r="F15" s="140" t="s">
        <v>39</v>
      </c>
      <c r="G15" s="140" t="s">
        <v>79</v>
      </c>
      <c r="H15" s="140" t="s">
        <v>80</v>
      </c>
      <c r="I15" s="148" t="s">
        <v>116</v>
      </c>
      <c r="J15" s="151" t="s">
        <v>117</v>
      </c>
      <c r="K15" s="156" t="s">
        <v>134</v>
      </c>
    </row>
    <row r="16" spans="1:11" x14ac:dyDescent="0.25">
      <c r="A16" s="136"/>
      <c r="B16" s="137"/>
      <c r="C16" s="136"/>
      <c r="D16" s="139"/>
      <c r="E16" s="87" t="s">
        <v>78</v>
      </c>
      <c r="F16" s="141"/>
      <c r="G16" s="141"/>
      <c r="H16" s="141"/>
      <c r="I16" s="148"/>
      <c r="J16" s="151"/>
      <c r="K16" s="157"/>
    </row>
    <row r="17" spans="1:11" x14ac:dyDescent="0.25">
      <c r="A17" s="143" t="s">
        <v>94</v>
      </c>
      <c r="B17" s="143" t="s">
        <v>95</v>
      </c>
      <c r="C17" s="144" t="s">
        <v>96</v>
      </c>
      <c r="D17" s="145" t="s">
        <v>85</v>
      </c>
      <c r="E17" s="146" t="s">
        <v>97</v>
      </c>
      <c r="F17" s="147">
        <v>256530</v>
      </c>
      <c r="G17" s="142">
        <v>0.45</v>
      </c>
      <c r="H17" s="142">
        <v>0.55000000000000004</v>
      </c>
      <c r="I17" s="163">
        <v>29</v>
      </c>
      <c r="J17" s="163">
        <f>I17*6</f>
        <v>174</v>
      </c>
      <c r="K17" s="167">
        <f>J17/F17</f>
        <v>6.7828324172611385E-4</v>
      </c>
    </row>
    <row r="18" spans="1:11" x14ac:dyDescent="0.25">
      <c r="A18" s="143"/>
      <c r="B18" s="143"/>
      <c r="C18" s="144"/>
      <c r="D18" s="145"/>
      <c r="E18" s="146"/>
      <c r="F18" s="147"/>
      <c r="G18" s="142"/>
      <c r="H18" s="142"/>
      <c r="I18" s="164"/>
      <c r="J18" s="164"/>
      <c r="K18" s="168"/>
    </row>
    <row r="19" spans="1:11" x14ac:dyDescent="0.25">
      <c r="A19" s="143" t="s">
        <v>98</v>
      </c>
      <c r="B19" s="143" t="s">
        <v>99</v>
      </c>
      <c r="C19" s="144" t="s">
        <v>96</v>
      </c>
      <c r="D19" s="145" t="s">
        <v>85</v>
      </c>
      <c r="E19" s="146" t="s">
        <v>100</v>
      </c>
      <c r="F19" s="147">
        <v>12234</v>
      </c>
      <c r="G19" s="142">
        <v>0.45</v>
      </c>
      <c r="H19" s="142">
        <v>0.55000000000000004</v>
      </c>
      <c r="I19" s="163">
        <v>1030</v>
      </c>
      <c r="J19" s="163">
        <f>I19*6</f>
        <v>6180</v>
      </c>
      <c r="K19" s="165">
        <f t="shared" ref="K19" si="0">J19/F19</f>
        <v>0.50514958312898484</v>
      </c>
    </row>
    <row r="20" spans="1:11" x14ac:dyDescent="0.25">
      <c r="A20" s="143"/>
      <c r="B20" s="143"/>
      <c r="C20" s="144"/>
      <c r="D20" s="145"/>
      <c r="E20" s="146"/>
      <c r="F20" s="147"/>
      <c r="G20" s="142"/>
      <c r="H20" s="142"/>
      <c r="I20" s="164"/>
      <c r="J20" s="164"/>
      <c r="K20" s="166"/>
    </row>
    <row r="21" spans="1:11" x14ac:dyDescent="0.25">
      <c r="A21" s="143" t="s">
        <v>101</v>
      </c>
      <c r="B21" s="143" t="s">
        <v>102</v>
      </c>
      <c r="C21" s="144" t="s">
        <v>89</v>
      </c>
      <c r="D21" s="145" t="s">
        <v>85</v>
      </c>
      <c r="E21" s="146" t="s">
        <v>103</v>
      </c>
      <c r="F21" s="147">
        <v>382978</v>
      </c>
      <c r="G21" s="142">
        <v>0.45</v>
      </c>
      <c r="H21" s="142">
        <v>0.55000000000000004</v>
      </c>
      <c r="I21" s="163">
        <v>20711</v>
      </c>
      <c r="J21" s="163">
        <f>I21*6</f>
        <v>124266</v>
      </c>
      <c r="K21" s="167">
        <f t="shared" ref="K21" si="1">J21/F21</f>
        <v>0.32447294622667622</v>
      </c>
    </row>
    <row r="22" spans="1:11" x14ac:dyDescent="0.25">
      <c r="A22" s="143"/>
      <c r="B22" s="143"/>
      <c r="C22" s="144"/>
      <c r="D22" s="145"/>
      <c r="E22" s="146"/>
      <c r="F22" s="147"/>
      <c r="G22" s="142"/>
      <c r="H22" s="142"/>
      <c r="I22" s="164"/>
      <c r="J22" s="164"/>
      <c r="K22" s="168"/>
    </row>
    <row r="23" spans="1:11" x14ac:dyDescent="0.25">
      <c r="A23" s="143" t="s">
        <v>104</v>
      </c>
      <c r="B23" s="143" t="s">
        <v>105</v>
      </c>
      <c r="C23" s="144" t="s">
        <v>89</v>
      </c>
      <c r="D23" s="145" t="s">
        <v>85</v>
      </c>
      <c r="E23" s="146" t="s">
        <v>106</v>
      </c>
      <c r="F23" s="147">
        <v>100246</v>
      </c>
      <c r="G23" s="142">
        <v>0.45</v>
      </c>
      <c r="H23" s="142">
        <v>0.55000000000000004</v>
      </c>
      <c r="I23" s="163">
        <v>2371</v>
      </c>
      <c r="J23" s="163">
        <f>I23*6</f>
        <v>14226</v>
      </c>
      <c r="K23" s="167">
        <f t="shared" ref="K23" si="2">J23/F23</f>
        <v>0.14191089918799751</v>
      </c>
    </row>
    <row r="24" spans="1:11" x14ac:dyDescent="0.25">
      <c r="A24" s="143"/>
      <c r="B24" s="143"/>
      <c r="C24" s="144"/>
      <c r="D24" s="145"/>
      <c r="E24" s="146"/>
      <c r="F24" s="147"/>
      <c r="G24" s="142"/>
      <c r="H24" s="142"/>
      <c r="I24" s="164"/>
      <c r="J24" s="164"/>
      <c r="K24" s="168"/>
    </row>
    <row r="25" spans="1:11" x14ac:dyDescent="0.25">
      <c r="J25" s="81"/>
    </row>
    <row r="26" spans="1:11" ht="15" customHeight="1" x14ac:dyDescent="0.25">
      <c r="A26" s="88" t="s">
        <v>107</v>
      </c>
      <c r="B26" s="158" t="s">
        <v>108</v>
      </c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1" x14ac:dyDescent="0.25">
      <c r="A27" s="88" t="s">
        <v>71</v>
      </c>
      <c r="B27" s="78" t="s">
        <v>109</v>
      </c>
      <c r="C27" s="78"/>
      <c r="D27" s="152"/>
      <c r="E27" s="152"/>
      <c r="F27" s="152"/>
      <c r="G27" s="152"/>
      <c r="H27" s="152"/>
      <c r="I27" s="153" t="s">
        <v>81</v>
      </c>
      <c r="J27" s="154"/>
      <c r="K27" s="155"/>
    </row>
    <row r="28" spans="1:11" ht="15" customHeight="1" x14ac:dyDescent="0.25">
      <c r="A28" s="136" t="s">
        <v>73</v>
      </c>
      <c r="B28" s="137" t="s">
        <v>74</v>
      </c>
      <c r="C28" s="136" t="s">
        <v>75</v>
      </c>
      <c r="D28" s="136" t="s">
        <v>76</v>
      </c>
      <c r="E28" s="87" t="s">
        <v>77</v>
      </c>
      <c r="F28" s="137" t="s">
        <v>39</v>
      </c>
      <c r="G28" s="137" t="s">
        <v>79</v>
      </c>
      <c r="H28" s="137" t="s">
        <v>80</v>
      </c>
      <c r="I28" s="148" t="s">
        <v>116</v>
      </c>
      <c r="J28" s="151" t="s">
        <v>117</v>
      </c>
      <c r="K28" s="156" t="s">
        <v>134</v>
      </c>
    </row>
    <row r="29" spans="1:11" x14ac:dyDescent="0.25">
      <c r="A29" s="136"/>
      <c r="B29" s="137"/>
      <c r="C29" s="136"/>
      <c r="D29" s="136"/>
      <c r="E29" s="87" t="s">
        <v>78</v>
      </c>
      <c r="F29" s="137"/>
      <c r="G29" s="137"/>
      <c r="H29" s="137"/>
      <c r="I29" s="148"/>
      <c r="J29" s="151"/>
      <c r="K29" s="157"/>
    </row>
    <row r="30" spans="1:11" x14ac:dyDescent="0.25">
      <c r="A30" s="149" t="s">
        <v>110</v>
      </c>
      <c r="B30" s="143" t="s">
        <v>111</v>
      </c>
      <c r="C30" s="144" t="s">
        <v>89</v>
      </c>
      <c r="D30" s="145" t="s">
        <v>112</v>
      </c>
      <c r="E30" s="146" t="s">
        <v>113</v>
      </c>
      <c r="F30" s="147">
        <v>41534</v>
      </c>
      <c r="G30" s="142">
        <v>0.45</v>
      </c>
      <c r="H30" s="142">
        <v>0.55000000000000004</v>
      </c>
      <c r="I30" s="163">
        <v>1509</v>
      </c>
      <c r="J30" s="163">
        <f>I30*6</f>
        <v>9054</v>
      </c>
      <c r="K30" s="167">
        <f t="shared" ref="K30" si="3">J30/F30</f>
        <v>0.21799008041604467</v>
      </c>
    </row>
    <row r="31" spans="1:11" x14ac:dyDescent="0.25">
      <c r="A31" s="150"/>
      <c r="B31" s="143"/>
      <c r="C31" s="144"/>
      <c r="D31" s="145"/>
      <c r="E31" s="146"/>
      <c r="F31" s="147"/>
      <c r="G31" s="142"/>
      <c r="H31" s="142"/>
      <c r="I31" s="164"/>
      <c r="J31" s="164"/>
      <c r="K31" s="168"/>
    </row>
  </sheetData>
  <mergeCells count="115">
    <mergeCell ref="H30:H31"/>
    <mergeCell ref="I30:I31"/>
    <mergeCell ref="J30:J31"/>
    <mergeCell ref="K30:K31"/>
    <mergeCell ref="I28:I29"/>
    <mergeCell ref="J28:J29"/>
    <mergeCell ref="K28:K29"/>
    <mergeCell ref="A30:A31"/>
    <mergeCell ref="B30:B31"/>
    <mergeCell ref="C30:C31"/>
    <mergeCell ref="D30:D31"/>
    <mergeCell ref="E30:E31"/>
    <mergeCell ref="F30:F31"/>
    <mergeCell ref="G30:G31"/>
    <mergeCell ref="B26:K26"/>
    <mergeCell ref="D27:H27"/>
    <mergeCell ref="I27:K27"/>
    <mergeCell ref="A28:A29"/>
    <mergeCell ref="B28:B29"/>
    <mergeCell ref="C28:C29"/>
    <mergeCell ref="D28:D29"/>
    <mergeCell ref="F28:F29"/>
    <mergeCell ref="G28:G29"/>
    <mergeCell ref="H28:H29"/>
    <mergeCell ref="F23:F24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K21:K22"/>
    <mergeCell ref="F21:F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D15:D16"/>
    <mergeCell ref="F15:F16"/>
    <mergeCell ref="G15:G16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B13:K13"/>
    <mergeCell ref="D14:H14"/>
    <mergeCell ref="I14:K14"/>
    <mergeCell ref="I8:I9"/>
    <mergeCell ref="J8:J9"/>
    <mergeCell ref="K8:K9"/>
    <mergeCell ref="A19:A20"/>
    <mergeCell ref="B19:B20"/>
    <mergeCell ref="C19:C20"/>
    <mergeCell ref="D19:D20"/>
    <mergeCell ref="E19:E20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A10:A11"/>
    <mergeCell ref="B10:B11"/>
    <mergeCell ref="C10:C11"/>
    <mergeCell ref="D10:D11"/>
    <mergeCell ref="E10:E11"/>
    <mergeCell ref="F10:F11"/>
    <mergeCell ref="G10:G11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H10:H11"/>
    <mergeCell ref="I10:I11"/>
    <mergeCell ref="J10:J11"/>
    <mergeCell ref="K10:K11"/>
    <mergeCell ref="B4:K4"/>
    <mergeCell ref="I5:K5"/>
    <mergeCell ref="A6:A7"/>
    <mergeCell ref="B6:B7"/>
    <mergeCell ref="C6:C7"/>
    <mergeCell ref="D6:D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80" zoomScaleNormal="80" workbookViewId="0">
      <selection activeCell="L1" sqref="L1"/>
    </sheetView>
  </sheetViews>
  <sheetFormatPr defaultRowHeight="15" x14ac:dyDescent="0.25"/>
  <cols>
    <col min="1" max="1" width="47.85546875" style="4" customWidth="1"/>
    <col min="2" max="2" width="51.7109375" style="4" customWidth="1"/>
    <col min="3" max="3" width="32.7109375" style="4" bestFit="1" customWidth="1"/>
    <col min="4" max="5" width="17.85546875" style="4" bestFit="1" customWidth="1"/>
    <col min="6" max="6" width="9.85546875" style="4" bestFit="1" customWidth="1"/>
    <col min="7" max="7" width="5.7109375" style="4" bestFit="1" customWidth="1"/>
    <col min="8" max="8" width="7.85546875" style="4" bestFit="1" customWidth="1"/>
    <col min="9" max="9" width="8.140625" style="4" bestFit="1" customWidth="1"/>
    <col min="10" max="10" width="10.85546875" style="4" bestFit="1" customWidth="1"/>
    <col min="11" max="11" width="13.42578125" style="4" customWidth="1"/>
    <col min="12" max="16384" width="9.140625" style="4"/>
  </cols>
  <sheetData>
    <row r="1" spans="1:11" x14ac:dyDescent="0.25">
      <c r="A1" s="80" t="s">
        <v>114</v>
      </c>
      <c r="J1" s="85" t="s">
        <v>118</v>
      </c>
      <c r="K1" s="86">
        <v>42946</v>
      </c>
    </row>
    <row r="2" spans="1:11" x14ac:dyDescent="0.25">
      <c r="A2" t="s">
        <v>115</v>
      </c>
    </row>
    <row r="4" spans="1:11" ht="15" customHeight="1" x14ac:dyDescent="0.25">
      <c r="A4" s="104" t="s">
        <v>69</v>
      </c>
      <c r="B4" s="158" t="s">
        <v>70</v>
      </c>
      <c r="C4" s="159"/>
      <c r="D4" s="159"/>
      <c r="E4" s="159"/>
      <c r="F4" s="159"/>
      <c r="G4" s="159"/>
      <c r="H4" s="159"/>
      <c r="I4" s="159"/>
      <c r="J4" s="159"/>
      <c r="K4" s="160"/>
    </row>
    <row r="5" spans="1:11" x14ac:dyDescent="0.25">
      <c r="A5" s="104" t="s">
        <v>71</v>
      </c>
      <c r="B5" s="78" t="s">
        <v>72</v>
      </c>
      <c r="C5" s="78"/>
      <c r="D5" s="82"/>
      <c r="E5" s="83"/>
      <c r="F5" s="83"/>
      <c r="G5" s="83"/>
      <c r="H5" s="84"/>
      <c r="I5" s="153" t="s">
        <v>81</v>
      </c>
      <c r="J5" s="154"/>
      <c r="K5" s="155"/>
    </row>
    <row r="6" spans="1:11" ht="15" customHeight="1" x14ac:dyDescent="0.25">
      <c r="A6" s="136" t="s">
        <v>73</v>
      </c>
      <c r="B6" s="137" t="s">
        <v>74</v>
      </c>
      <c r="C6" s="136" t="s">
        <v>75</v>
      </c>
      <c r="D6" s="136" t="s">
        <v>76</v>
      </c>
      <c r="E6" s="105" t="s">
        <v>77</v>
      </c>
      <c r="F6" s="137" t="s">
        <v>39</v>
      </c>
      <c r="G6" s="137" t="s">
        <v>79</v>
      </c>
      <c r="H6" s="137" t="s">
        <v>80</v>
      </c>
      <c r="I6" s="148" t="s">
        <v>116</v>
      </c>
      <c r="J6" s="151" t="s">
        <v>117</v>
      </c>
      <c r="K6" s="156" t="s">
        <v>134</v>
      </c>
    </row>
    <row r="7" spans="1:11" x14ac:dyDescent="0.25">
      <c r="A7" s="136"/>
      <c r="B7" s="137"/>
      <c r="C7" s="136"/>
      <c r="D7" s="136"/>
      <c r="E7" s="105" t="s">
        <v>78</v>
      </c>
      <c r="F7" s="137"/>
      <c r="G7" s="137"/>
      <c r="H7" s="137"/>
      <c r="I7" s="148"/>
      <c r="J7" s="151"/>
      <c r="K7" s="157"/>
    </row>
    <row r="8" spans="1:11" x14ac:dyDescent="0.25">
      <c r="A8" s="143" t="s">
        <v>82</v>
      </c>
      <c r="B8" s="143" t="s">
        <v>83</v>
      </c>
      <c r="C8" s="144" t="s">
        <v>84</v>
      </c>
      <c r="D8" s="145" t="s">
        <v>85</v>
      </c>
      <c r="E8" s="146" t="s">
        <v>86</v>
      </c>
      <c r="F8" s="147">
        <v>344258</v>
      </c>
      <c r="G8" s="142">
        <v>0.45</v>
      </c>
      <c r="H8" s="142">
        <v>0.55000000000000004</v>
      </c>
      <c r="I8" s="161">
        <v>66361</v>
      </c>
      <c r="J8" s="163">
        <f>I8*6</f>
        <v>398166</v>
      </c>
      <c r="K8" s="165">
        <f>J8/F8</f>
        <v>1.1565918584317576</v>
      </c>
    </row>
    <row r="9" spans="1:11" x14ac:dyDescent="0.25">
      <c r="A9" s="143"/>
      <c r="B9" s="143"/>
      <c r="C9" s="144"/>
      <c r="D9" s="145"/>
      <c r="E9" s="146"/>
      <c r="F9" s="147"/>
      <c r="G9" s="142"/>
      <c r="H9" s="142"/>
      <c r="I9" s="162"/>
      <c r="J9" s="164"/>
      <c r="K9" s="166"/>
    </row>
    <row r="10" spans="1:11" x14ac:dyDescent="0.25">
      <c r="A10" s="143" t="s">
        <v>87</v>
      </c>
      <c r="B10" s="143" t="s">
        <v>88</v>
      </c>
      <c r="C10" s="144" t="s">
        <v>89</v>
      </c>
      <c r="D10" s="145" t="s">
        <v>85</v>
      </c>
      <c r="E10" s="146" t="s">
        <v>90</v>
      </c>
      <c r="F10" s="147">
        <v>1190204</v>
      </c>
      <c r="G10" s="142">
        <v>0.45</v>
      </c>
      <c r="H10" s="142">
        <v>0.55000000000000004</v>
      </c>
      <c r="I10" s="161">
        <v>249001</v>
      </c>
      <c r="J10" s="163">
        <f>I10*6</f>
        <v>1494006</v>
      </c>
      <c r="K10" s="165">
        <f>J10/F10</f>
        <v>1.2552520408266146</v>
      </c>
    </row>
    <row r="11" spans="1:11" x14ac:dyDescent="0.25">
      <c r="A11" s="143"/>
      <c r="B11" s="143"/>
      <c r="C11" s="144"/>
      <c r="D11" s="145"/>
      <c r="E11" s="146"/>
      <c r="F11" s="147"/>
      <c r="G11" s="142"/>
      <c r="H11" s="142"/>
      <c r="I11" s="162"/>
      <c r="J11" s="164"/>
      <c r="K11" s="166"/>
    </row>
    <row r="12" spans="1:11" x14ac:dyDescent="0.25">
      <c r="J12" s="81"/>
    </row>
    <row r="13" spans="1:11" ht="15" customHeight="1" x14ac:dyDescent="0.25">
      <c r="A13" s="104" t="s">
        <v>91</v>
      </c>
      <c r="B13" s="158" t="s">
        <v>92</v>
      </c>
      <c r="C13" s="159"/>
      <c r="D13" s="159"/>
      <c r="E13" s="159"/>
      <c r="F13" s="159"/>
      <c r="G13" s="159"/>
      <c r="H13" s="159"/>
      <c r="I13" s="159"/>
      <c r="J13" s="159"/>
      <c r="K13" s="160"/>
    </row>
    <row r="14" spans="1:11" x14ac:dyDescent="0.25">
      <c r="A14" s="104" t="s">
        <v>71</v>
      </c>
      <c r="B14" s="78" t="s">
        <v>93</v>
      </c>
      <c r="C14" s="78"/>
      <c r="D14" s="152"/>
      <c r="E14" s="152"/>
      <c r="F14" s="152"/>
      <c r="G14" s="152"/>
      <c r="H14" s="152"/>
      <c r="I14" s="153" t="s">
        <v>81</v>
      </c>
      <c r="J14" s="154"/>
      <c r="K14" s="155"/>
    </row>
    <row r="15" spans="1:11" ht="15" customHeight="1" x14ac:dyDescent="0.25">
      <c r="A15" s="136" t="s">
        <v>73</v>
      </c>
      <c r="B15" s="137" t="s">
        <v>74</v>
      </c>
      <c r="C15" s="136" t="s">
        <v>75</v>
      </c>
      <c r="D15" s="138" t="s">
        <v>76</v>
      </c>
      <c r="E15" s="105" t="s">
        <v>77</v>
      </c>
      <c r="F15" s="140" t="s">
        <v>39</v>
      </c>
      <c r="G15" s="140" t="s">
        <v>79</v>
      </c>
      <c r="H15" s="140" t="s">
        <v>80</v>
      </c>
      <c r="I15" s="148" t="s">
        <v>116</v>
      </c>
      <c r="J15" s="151" t="s">
        <v>117</v>
      </c>
      <c r="K15" s="156" t="s">
        <v>134</v>
      </c>
    </row>
    <row r="16" spans="1:11" x14ac:dyDescent="0.25">
      <c r="A16" s="136"/>
      <c r="B16" s="137"/>
      <c r="C16" s="136"/>
      <c r="D16" s="139"/>
      <c r="E16" s="105" t="s">
        <v>78</v>
      </c>
      <c r="F16" s="141"/>
      <c r="G16" s="141"/>
      <c r="H16" s="141"/>
      <c r="I16" s="148"/>
      <c r="J16" s="151"/>
      <c r="K16" s="157"/>
    </row>
    <row r="17" spans="1:12" x14ac:dyDescent="0.25">
      <c r="A17" s="143" t="s">
        <v>94</v>
      </c>
      <c r="B17" s="143" t="s">
        <v>95</v>
      </c>
      <c r="C17" s="144" t="s">
        <v>96</v>
      </c>
      <c r="D17" s="145" t="s">
        <v>85</v>
      </c>
      <c r="E17" s="146" t="s">
        <v>97</v>
      </c>
      <c r="F17" s="147">
        <v>256530</v>
      </c>
      <c r="G17" s="142">
        <v>0.45</v>
      </c>
      <c r="H17" s="142">
        <v>0.55000000000000004</v>
      </c>
      <c r="I17" s="163">
        <v>38</v>
      </c>
      <c r="J17" s="163">
        <f>I17*6</f>
        <v>228</v>
      </c>
      <c r="K17" s="167">
        <f>J17/F17</f>
        <v>8.8878493743421824E-4</v>
      </c>
    </row>
    <row r="18" spans="1:12" x14ac:dyDescent="0.25">
      <c r="A18" s="143"/>
      <c r="B18" s="143"/>
      <c r="C18" s="144"/>
      <c r="D18" s="145"/>
      <c r="E18" s="146"/>
      <c r="F18" s="147"/>
      <c r="G18" s="142"/>
      <c r="H18" s="142"/>
      <c r="I18" s="164"/>
      <c r="J18" s="164"/>
      <c r="K18" s="168"/>
    </row>
    <row r="19" spans="1:12" x14ac:dyDescent="0.25">
      <c r="A19" s="143" t="s">
        <v>98</v>
      </c>
      <c r="B19" s="143" t="s">
        <v>99</v>
      </c>
      <c r="C19" s="144" t="s">
        <v>96</v>
      </c>
      <c r="D19" s="145" t="s">
        <v>85</v>
      </c>
      <c r="E19" s="146" t="s">
        <v>100</v>
      </c>
      <c r="F19" s="147">
        <v>12234</v>
      </c>
      <c r="G19" s="142">
        <v>0.45</v>
      </c>
      <c r="H19" s="142">
        <v>0.55000000000000004</v>
      </c>
      <c r="I19" s="163">
        <v>5334</v>
      </c>
      <c r="J19" s="163">
        <f>I19*6</f>
        <v>32004</v>
      </c>
      <c r="K19" s="165">
        <f t="shared" ref="K19" si="0">J19/F19</f>
        <v>2.6159882295242767</v>
      </c>
    </row>
    <row r="20" spans="1:12" x14ac:dyDescent="0.25">
      <c r="A20" s="143"/>
      <c r="B20" s="143"/>
      <c r="C20" s="144"/>
      <c r="D20" s="145"/>
      <c r="E20" s="146"/>
      <c r="F20" s="147"/>
      <c r="G20" s="142"/>
      <c r="H20" s="142"/>
      <c r="I20" s="164"/>
      <c r="J20" s="164"/>
      <c r="K20" s="166"/>
    </row>
    <row r="21" spans="1:12" x14ac:dyDescent="0.25">
      <c r="A21" s="143" t="s">
        <v>101</v>
      </c>
      <c r="B21" s="143" t="s">
        <v>102</v>
      </c>
      <c r="C21" s="144" t="s">
        <v>89</v>
      </c>
      <c r="D21" s="145" t="s">
        <v>85</v>
      </c>
      <c r="E21" s="146" t="s">
        <v>103</v>
      </c>
      <c r="F21" s="147">
        <v>382978</v>
      </c>
      <c r="G21" s="142">
        <v>0.45</v>
      </c>
      <c r="H21" s="142">
        <v>0.55000000000000004</v>
      </c>
      <c r="I21" s="163">
        <v>22860</v>
      </c>
      <c r="J21" s="163">
        <f>I21*6</f>
        <v>137160</v>
      </c>
      <c r="K21" s="167">
        <f t="shared" ref="K21" si="1">J21/F21</f>
        <v>0.35814067648794445</v>
      </c>
    </row>
    <row r="22" spans="1:12" x14ac:dyDescent="0.25">
      <c r="A22" s="143"/>
      <c r="B22" s="143"/>
      <c r="C22" s="144"/>
      <c r="D22" s="145"/>
      <c r="E22" s="146"/>
      <c r="F22" s="147"/>
      <c r="G22" s="142"/>
      <c r="H22" s="142"/>
      <c r="I22" s="164"/>
      <c r="J22" s="164"/>
      <c r="K22" s="168"/>
    </row>
    <row r="23" spans="1:12" x14ac:dyDescent="0.25">
      <c r="A23" s="143" t="s">
        <v>104</v>
      </c>
      <c r="B23" s="143" t="s">
        <v>105</v>
      </c>
      <c r="C23" s="144" t="s">
        <v>89</v>
      </c>
      <c r="D23" s="145" t="s">
        <v>85</v>
      </c>
      <c r="E23" s="146" t="s">
        <v>106</v>
      </c>
      <c r="F23" s="147">
        <v>100246</v>
      </c>
      <c r="G23" s="142">
        <v>0.45</v>
      </c>
      <c r="H23" s="142">
        <v>0.55000000000000004</v>
      </c>
      <c r="I23" s="163">
        <v>2591</v>
      </c>
      <c r="J23" s="163">
        <f>I23*6</f>
        <v>15546</v>
      </c>
      <c r="K23" s="167">
        <f t="shared" ref="K23" si="2">J23/F23</f>
        <v>0.15507850687309219</v>
      </c>
    </row>
    <row r="24" spans="1:12" x14ac:dyDescent="0.25">
      <c r="A24" s="143"/>
      <c r="B24" s="143"/>
      <c r="C24" s="144"/>
      <c r="D24" s="145"/>
      <c r="E24" s="146"/>
      <c r="F24" s="147"/>
      <c r="G24" s="142"/>
      <c r="H24" s="142"/>
      <c r="I24" s="164"/>
      <c r="J24" s="164"/>
      <c r="K24" s="168"/>
    </row>
    <row r="25" spans="1:12" x14ac:dyDescent="0.25">
      <c r="J25" s="81"/>
    </row>
    <row r="26" spans="1:12" ht="15" customHeight="1" x14ac:dyDescent="0.25">
      <c r="A26" s="104" t="s">
        <v>107</v>
      </c>
      <c r="B26" s="158" t="s">
        <v>108</v>
      </c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2" x14ac:dyDescent="0.25">
      <c r="A27" s="104" t="s">
        <v>71</v>
      </c>
      <c r="B27" s="78" t="s">
        <v>109</v>
      </c>
      <c r="C27" s="78"/>
      <c r="D27" s="152"/>
      <c r="E27" s="152"/>
      <c r="F27" s="152"/>
      <c r="G27" s="152"/>
      <c r="H27" s="152"/>
      <c r="I27" s="153" t="s">
        <v>81</v>
      </c>
      <c r="J27" s="154"/>
      <c r="K27" s="155"/>
    </row>
    <row r="28" spans="1:12" ht="15" customHeight="1" x14ac:dyDescent="0.25">
      <c r="A28" s="136" t="s">
        <v>73</v>
      </c>
      <c r="B28" s="137" t="s">
        <v>74</v>
      </c>
      <c r="C28" s="136" t="s">
        <v>75</v>
      </c>
      <c r="D28" s="136" t="s">
        <v>76</v>
      </c>
      <c r="E28" s="105" t="s">
        <v>77</v>
      </c>
      <c r="F28" s="137" t="s">
        <v>39</v>
      </c>
      <c r="G28" s="137" t="s">
        <v>79</v>
      </c>
      <c r="H28" s="137" t="s">
        <v>80</v>
      </c>
      <c r="I28" s="148" t="s">
        <v>116</v>
      </c>
      <c r="J28" s="151" t="s">
        <v>117</v>
      </c>
      <c r="K28" s="156" t="s">
        <v>134</v>
      </c>
    </row>
    <row r="29" spans="1:12" x14ac:dyDescent="0.25">
      <c r="A29" s="136"/>
      <c r="B29" s="137"/>
      <c r="C29" s="136"/>
      <c r="D29" s="136"/>
      <c r="E29" s="105" t="s">
        <v>78</v>
      </c>
      <c r="F29" s="137"/>
      <c r="G29" s="137"/>
      <c r="H29" s="137"/>
      <c r="I29" s="148"/>
      <c r="J29" s="151"/>
      <c r="K29" s="157"/>
    </row>
    <row r="30" spans="1:12" x14ac:dyDescent="0.25">
      <c r="A30" s="149" t="s">
        <v>110</v>
      </c>
      <c r="B30" s="143" t="s">
        <v>111</v>
      </c>
      <c r="C30" s="144" t="s">
        <v>89</v>
      </c>
      <c r="D30" s="145" t="s">
        <v>112</v>
      </c>
      <c r="E30" s="146" t="s">
        <v>113</v>
      </c>
      <c r="F30" s="147">
        <v>41534</v>
      </c>
      <c r="G30" s="142">
        <v>0.45</v>
      </c>
      <c r="H30" s="142">
        <v>0.55000000000000004</v>
      </c>
      <c r="I30" s="163">
        <v>1509</v>
      </c>
      <c r="J30" s="163">
        <f>I30*6</f>
        <v>9054</v>
      </c>
      <c r="K30" s="167">
        <f t="shared" ref="K30" si="3">J30/F30</f>
        <v>0.21799008041604467</v>
      </c>
    </row>
    <row r="31" spans="1:12" x14ac:dyDescent="0.25">
      <c r="A31" s="150"/>
      <c r="B31" s="143"/>
      <c r="C31" s="144"/>
      <c r="D31" s="145"/>
      <c r="E31" s="146"/>
      <c r="F31" s="147"/>
      <c r="G31" s="142"/>
      <c r="H31" s="142"/>
      <c r="I31" s="164"/>
      <c r="J31" s="164"/>
      <c r="K31" s="168"/>
      <c r="L31" s="41"/>
    </row>
  </sheetData>
  <mergeCells count="115">
    <mergeCell ref="B4:K4"/>
    <mergeCell ref="I5:K5"/>
    <mergeCell ref="A6:A7"/>
    <mergeCell ref="B6:B7"/>
    <mergeCell ref="C6:C7"/>
    <mergeCell ref="D6:D7"/>
    <mergeCell ref="F6:F7"/>
    <mergeCell ref="G6:G7"/>
    <mergeCell ref="H6:H7"/>
    <mergeCell ref="I6:I7"/>
    <mergeCell ref="A10:A11"/>
    <mergeCell ref="B10:B11"/>
    <mergeCell ref="C10:C11"/>
    <mergeCell ref="D10:D11"/>
    <mergeCell ref="E10:E11"/>
    <mergeCell ref="F10:F11"/>
    <mergeCell ref="G10:G11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H10:H11"/>
    <mergeCell ref="I10:I11"/>
    <mergeCell ref="J10:J11"/>
    <mergeCell ref="K10:K11"/>
    <mergeCell ref="B13:K13"/>
    <mergeCell ref="D14:H14"/>
    <mergeCell ref="I14:K14"/>
    <mergeCell ref="I8:I9"/>
    <mergeCell ref="J8:J9"/>
    <mergeCell ref="K8:K9"/>
    <mergeCell ref="A19:A20"/>
    <mergeCell ref="B19:B20"/>
    <mergeCell ref="C19:C20"/>
    <mergeCell ref="D19:D20"/>
    <mergeCell ref="E19:E20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F15:F16"/>
    <mergeCell ref="G15:G16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3:F24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K21:K22"/>
    <mergeCell ref="F21:F22"/>
    <mergeCell ref="B26:K26"/>
    <mergeCell ref="D27:H27"/>
    <mergeCell ref="I27:K27"/>
    <mergeCell ref="A28:A29"/>
    <mergeCell ref="B28:B29"/>
    <mergeCell ref="C28:C29"/>
    <mergeCell ref="D28:D29"/>
    <mergeCell ref="F28:F29"/>
    <mergeCell ref="G28:G29"/>
    <mergeCell ref="H28:H29"/>
    <mergeCell ref="H30:H31"/>
    <mergeCell ref="I30:I31"/>
    <mergeCell ref="J30:J31"/>
    <mergeCell ref="K30:K31"/>
    <mergeCell ref="I28:I29"/>
    <mergeCell ref="J28:J29"/>
    <mergeCell ref="K28:K29"/>
    <mergeCell ref="A30:A31"/>
    <mergeCell ref="B30:B31"/>
    <mergeCell ref="C30:C31"/>
    <mergeCell ref="D30:D31"/>
    <mergeCell ref="E30:E31"/>
    <mergeCell ref="F30:F31"/>
    <mergeCell ref="G30:G3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80" zoomScaleNormal="80" workbookViewId="0">
      <selection activeCell="L1" sqref="L1"/>
    </sheetView>
  </sheetViews>
  <sheetFormatPr defaultRowHeight="15" x14ac:dyDescent="0.25"/>
  <cols>
    <col min="1" max="1" width="47.85546875" style="4" customWidth="1"/>
    <col min="2" max="2" width="51.7109375" style="4" customWidth="1"/>
    <col min="3" max="3" width="32.7109375" style="4" bestFit="1" customWidth="1"/>
    <col min="4" max="5" width="17.85546875" style="4" bestFit="1" customWidth="1"/>
    <col min="6" max="6" width="9.85546875" style="4" bestFit="1" customWidth="1"/>
    <col min="7" max="7" width="5.7109375" style="4" bestFit="1" customWidth="1"/>
    <col min="8" max="8" width="7.85546875" style="4" bestFit="1" customWidth="1"/>
    <col min="9" max="9" width="8.140625" style="4" bestFit="1" customWidth="1"/>
    <col min="10" max="10" width="10.85546875" style="4" bestFit="1" customWidth="1"/>
    <col min="11" max="11" width="13.42578125" style="4" customWidth="1"/>
    <col min="12" max="16384" width="9.140625" style="4"/>
  </cols>
  <sheetData>
    <row r="1" spans="1:11" x14ac:dyDescent="0.25">
      <c r="A1" s="80" t="s">
        <v>114</v>
      </c>
      <c r="J1" s="85" t="s">
        <v>118</v>
      </c>
      <c r="K1" s="86">
        <v>42978</v>
      </c>
    </row>
    <row r="2" spans="1:11" x14ac:dyDescent="0.25">
      <c r="A2" t="s">
        <v>115</v>
      </c>
    </row>
    <row r="4" spans="1:11" ht="15" customHeight="1" x14ac:dyDescent="0.25">
      <c r="A4" s="115" t="s">
        <v>69</v>
      </c>
      <c r="B4" s="158" t="s">
        <v>70</v>
      </c>
      <c r="C4" s="159"/>
      <c r="D4" s="159"/>
      <c r="E4" s="159"/>
      <c r="F4" s="159"/>
      <c r="G4" s="159"/>
      <c r="H4" s="159"/>
      <c r="I4" s="159"/>
      <c r="J4" s="159"/>
      <c r="K4" s="160"/>
    </row>
    <row r="5" spans="1:11" x14ac:dyDescent="0.25">
      <c r="A5" s="115" t="s">
        <v>71</v>
      </c>
      <c r="B5" s="78" t="s">
        <v>72</v>
      </c>
      <c r="C5" s="78"/>
      <c r="D5" s="82"/>
      <c r="E5" s="83"/>
      <c r="F5" s="83"/>
      <c r="G5" s="83"/>
      <c r="H5" s="84"/>
      <c r="I5" s="153" t="s">
        <v>81</v>
      </c>
      <c r="J5" s="154"/>
      <c r="K5" s="155"/>
    </row>
    <row r="6" spans="1:11" ht="15" customHeight="1" x14ac:dyDescent="0.25">
      <c r="A6" s="136" t="s">
        <v>73</v>
      </c>
      <c r="B6" s="137" t="s">
        <v>74</v>
      </c>
      <c r="C6" s="136" t="s">
        <v>75</v>
      </c>
      <c r="D6" s="136" t="s">
        <v>76</v>
      </c>
      <c r="E6" s="114" t="s">
        <v>77</v>
      </c>
      <c r="F6" s="137" t="s">
        <v>39</v>
      </c>
      <c r="G6" s="137" t="s">
        <v>79</v>
      </c>
      <c r="H6" s="137" t="s">
        <v>80</v>
      </c>
      <c r="I6" s="148" t="s">
        <v>116</v>
      </c>
      <c r="J6" s="151" t="s">
        <v>117</v>
      </c>
      <c r="K6" s="156" t="s">
        <v>134</v>
      </c>
    </row>
    <row r="7" spans="1:11" x14ac:dyDescent="0.25">
      <c r="A7" s="136"/>
      <c r="B7" s="137"/>
      <c r="C7" s="136"/>
      <c r="D7" s="136"/>
      <c r="E7" s="114" t="s">
        <v>78</v>
      </c>
      <c r="F7" s="137"/>
      <c r="G7" s="137"/>
      <c r="H7" s="137"/>
      <c r="I7" s="148"/>
      <c r="J7" s="151"/>
      <c r="K7" s="157"/>
    </row>
    <row r="8" spans="1:11" x14ac:dyDescent="0.25">
      <c r="A8" s="143" t="s">
        <v>82</v>
      </c>
      <c r="B8" s="143" t="s">
        <v>83</v>
      </c>
      <c r="C8" s="144" t="s">
        <v>84</v>
      </c>
      <c r="D8" s="145" t="s">
        <v>85</v>
      </c>
      <c r="E8" s="146" t="s">
        <v>86</v>
      </c>
      <c r="F8" s="147">
        <v>344258</v>
      </c>
      <c r="G8" s="142">
        <v>0.45</v>
      </c>
      <c r="H8" s="142">
        <v>0.55000000000000004</v>
      </c>
      <c r="I8" s="161">
        <v>77561</v>
      </c>
      <c r="J8" s="163">
        <f>I8*6</f>
        <v>465366</v>
      </c>
      <c r="K8" s="165">
        <f>J8/F8</f>
        <v>1.3517942938145229</v>
      </c>
    </row>
    <row r="9" spans="1:11" x14ac:dyDescent="0.25">
      <c r="A9" s="143"/>
      <c r="B9" s="143"/>
      <c r="C9" s="144"/>
      <c r="D9" s="145"/>
      <c r="E9" s="146"/>
      <c r="F9" s="147"/>
      <c r="G9" s="142"/>
      <c r="H9" s="142"/>
      <c r="I9" s="162"/>
      <c r="J9" s="164"/>
      <c r="K9" s="166"/>
    </row>
    <row r="10" spans="1:11" x14ac:dyDescent="0.25">
      <c r="A10" s="143" t="s">
        <v>87</v>
      </c>
      <c r="B10" s="143" t="s">
        <v>88</v>
      </c>
      <c r="C10" s="144" t="s">
        <v>89</v>
      </c>
      <c r="D10" s="145" t="s">
        <v>85</v>
      </c>
      <c r="E10" s="146" t="s">
        <v>90</v>
      </c>
      <c r="F10" s="147">
        <v>1190204</v>
      </c>
      <c r="G10" s="142">
        <v>0.45</v>
      </c>
      <c r="H10" s="142">
        <v>0.55000000000000004</v>
      </c>
      <c r="I10" s="161">
        <v>264058</v>
      </c>
      <c r="J10" s="163">
        <f>I10*6</f>
        <v>1584348</v>
      </c>
      <c r="K10" s="165">
        <f>J10/F10</f>
        <v>1.3311566756623234</v>
      </c>
    </row>
    <row r="11" spans="1:11" x14ac:dyDescent="0.25">
      <c r="A11" s="143"/>
      <c r="B11" s="143"/>
      <c r="C11" s="144"/>
      <c r="D11" s="145"/>
      <c r="E11" s="146"/>
      <c r="F11" s="147"/>
      <c r="G11" s="142"/>
      <c r="H11" s="142"/>
      <c r="I11" s="162"/>
      <c r="J11" s="164"/>
      <c r="K11" s="166"/>
    </row>
    <row r="12" spans="1:11" x14ac:dyDescent="0.25">
      <c r="J12" s="81"/>
    </row>
    <row r="13" spans="1:11" ht="15" customHeight="1" x14ac:dyDescent="0.25">
      <c r="A13" s="115" t="s">
        <v>91</v>
      </c>
      <c r="B13" s="158" t="s">
        <v>92</v>
      </c>
      <c r="C13" s="159"/>
      <c r="D13" s="159"/>
      <c r="E13" s="159"/>
      <c r="F13" s="159"/>
      <c r="G13" s="159"/>
      <c r="H13" s="159"/>
      <c r="I13" s="159"/>
      <c r="J13" s="159"/>
      <c r="K13" s="160"/>
    </row>
    <row r="14" spans="1:11" x14ac:dyDescent="0.25">
      <c r="A14" s="115" t="s">
        <v>71</v>
      </c>
      <c r="B14" s="78" t="s">
        <v>93</v>
      </c>
      <c r="C14" s="78"/>
      <c r="D14" s="152"/>
      <c r="E14" s="152"/>
      <c r="F14" s="152"/>
      <c r="G14" s="152"/>
      <c r="H14" s="152"/>
      <c r="I14" s="153" t="s">
        <v>81</v>
      </c>
      <c r="J14" s="154"/>
      <c r="K14" s="155"/>
    </row>
    <row r="15" spans="1:11" ht="15" customHeight="1" x14ac:dyDescent="0.25">
      <c r="A15" s="136" t="s">
        <v>73</v>
      </c>
      <c r="B15" s="137" t="s">
        <v>74</v>
      </c>
      <c r="C15" s="136" t="s">
        <v>75</v>
      </c>
      <c r="D15" s="138" t="s">
        <v>76</v>
      </c>
      <c r="E15" s="114" t="s">
        <v>77</v>
      </c>
      <c r="F15" s="140" t="s">
        <v>39</v>
      </c>
      <c r="G15" s="140" t="s">
        <v>79</v>
      </c>
      <c r="H15" s="140" t="s">
        <v>80</v>
      </c>
      <c r="I15" s="148" t="s">
        <v>116</v>
      </c>
      <c r="J15" s="151" t="s">
        <v>117</v>
      </c>
      <c r="K15" s="156" t="s">
        <v>134</v>
      </c>
    </row>
    <row r="16" spans="1:11" x14ac:dyDescent="0.25">
      <c r="A16" s="136"/>
      <c r="B16" s="137"/>
      <c r="C16" s="136"/>
      <c r="D16" s="139"/>
      <c r="E16" s="114" t="s">
        <v>78</v>
      </c>
      <c r="F16" s="141"/>
      <c r="G16" s="141"/>
      <c r="H16" s="141"/>
      <c r="I16" s="148"/>
      <c r="J16" s="151"/>
      <c r="K16" s="157"/>
    </row>
    <row r="17" spans="1:12" x14ac:dyDescent="0.25">
      <c r="A17" s="143" t="s">
        <v>94</v>
      </c>
      <c r="B17" s="143" t="s">
        <v>95</v>
      </c>
      <c r="C17" s="144" t="s">
        <v>96</v>
      </c>
      <c r="D17" s="145" t="s">
        <v>85</v>
      </c>
      <c r="E17" s="146" t="s">
        <v>97</v>
      </c>
      <c r="F17" s="147">
        <v>256530</v>
      </c>
      <c r="G17" s="142">
        <v>0.45</v>
      </c>
      <c r="H17" s="142">
        <v>0.55000000000000004</v>
      </c>
      <c r="I17" s="163">
        <v>356</v>
      </c>
      <c r="J17" s="163">
        <f>I17*6</f>
        <v>2136</v>
      </c>
      <c r="K17" s="167">
        <f>J17/F17</f>
        <v>8.3265115191205712E-3</v>
      </c>
    </row>
    <row r="18" spans="1:12" x14ac:dyDescent="0.25">
      <c r="A18" s="143"/>
      <c r="B18" s="143"/>
      <c r="C18" s="144"/>
      <c r="D18" s="145"/>
      <c r="E18" s="146"/>
      <c r="F18" s="147"/>
      <c r="G18" s="142"/>
      <c r="H18" s="142"/>
      <c r="I18" s="164"/>
      <c r="J18" s="164"/>
      <c r="K18" s="168"/>
    </row>
    <row r="19" spans="1:12" x14ac:dyDescent="0.25">
      <c r="A19" s="143" t="s">
        <v>98</v>
      </c>
      <c r="B19" s="143" t="s">
        <v>99</v>
      </c>
      <c r="C19" s="144" t="s">
        <v>96</v>
      </c>
      <c r="D19" s="145" t="s">
        <v>85</v>
      </c>
      <c r="E19" s="146" t="s">
        <v>100</v>
      </c>
      <c r="F19" s="147">
        <v>12234</v>
      </c>
      <c r="G19" s="142">
        <v>0.45</v>
      </c>
      <c r="H19" s="142">
        <v>0.55000000000000004</v>
      </c>
      <c r="I19" s="163">
        <v>5349</v>
      </c>
      <c r="J19" s="163">
        <f>I19*6</f>
        <v>32094</v>
      </c>
      <c r="K19" s="165">
        <f t="shared" ref="K19" si="0">J19/F19</f>
        <v>2.6233447768513978</v>
      </c>
    </row>
    <row r="20" spans="1:12" x14ac:dyDescent="0.25">
      <c r="A20" s="143"/>
      <c r="B20" s="143"/>
      <c r="C20" s="144"/>
      <c r="D20" s="145"/>
      <c r="E20" s="146"/>
      <c r="F20" s="147"/>
      <c r="G20" s="142"/>
      <c r="H20" s="142"/>
      <c r="I20" s="164"/>
      <c r="J20" s="164"/>
      <c r="K20" s="166"/>
    </row>
    <row r="21" spans="1:12" x14ac:dyDescent="0.25">
      <c r="A21" s="143" t="s">
        <v>101</v>
      </c>
      <c r="B21" s="143" t="s">
        <v>102</v>
      </c>
      <c r="C21" s="144" t="s">
        <v>89</v>
      </c>
      <c r="D21" s="145" t="s">
        <v>85</v>
      </c>
      <c r="E21" s="146" t="s">
        <v>103</v>
      </c>
      <c r="F21" s="147">
        <v>382978</v>
      </c>
      <c r="G21" s="142">
        <v>0.45</v>
      </c>
      <c r="H21" s="142">
        <v>0.55000000000000004</v>
      </c>
      <c r="I21" s="163">
        <v>28292</v>
      </c>
      <c r="J21" s="163">
        <f>I21*6</f>
        <v>169752</v>
      </c>
      <c r="K21" s="167">
        <f t="shared" ref="K21" si="1">J21/F21</f>
        <v>0.44324217056854442</v>
      </c>
    </row>
    <row r="22" spans="1:12" x14ac:dyDescent="0.25">
      <c r="A22" s="143"/>
      <c r="B22" s="143"/>
      <c r="C22" s="144"/>
      <c r="D22" s="145"/>
      <c r="E22" s="146"/>
      <c r="F22" s="147"/>
      <c r="G22" s="142"/>
      <c r="H22" s="142"/>
      <c r="I22" s="164"/>
      <c r="J22" s="164"/>
      <c r="K22" s="168"/>
    </row>
    <row r="23" spans="1:12" x14ac:dyDescent="0.25">
      <c r="A23" s="143" t="s">
        <v>104</v>
      </c>
      <c r="B23" s="143" t="s">
        <v>105</v>
      </c>
      <c r="C23" s="144" t="s">
        <v>89</v>
      </c>
      <c r="D23" s="145" t="s">
        <v>85</v>
      </c>
      <c r="E23" s="146" t="s">
        <v>106</v>
      </c>
      <c r="F23" s="147">
        <v>100246</v>
      </c>
      <c r="G23" s="142">
        <v>0.45</v>
      </c>
      <c r="H23" s="142">
        <v>0.55000000000000004</v>
      </c>
      <c r="I23" s="163">
        <v>2882</v>
      </c>
      <c r="J23" s="163">
        <f>I23*6</f>
        <v>17292</v>
      </c>
      <c r="K23" s="167">
        <f t="shared" ref="K23" si="2">J23/F23</f>
        <v>0.17249566067474015</v>
      </c>
    </row>
    <row r="24" spans="1:12" x14ac:dyDescent="0.25">
      <c r="A24" s="143"/>
      <c r="B24" s="143"/>
      <c r="C24" s="144"/>
      <c r="D24" s="145"/>
      <c r="E24" s="146"/>
      <c r="F24" s="147"/>
      <c r="G24" s="142"/>
      <c r="H24" s="142"/>
      <c r="I24" s="164"/>
      <c r="J24" s="164"/>
      <c r="K24" s="168"/>
    </row>
    <row r="25" spans="1:12" x14ac:dyDescent="0.25">
      <c r="J25" s="81"/>
    </row>
    <row r="26" spans="1:12" ht="15" customHeight="1" x14ac:dyDescent="0.25">
      <c r="A26" s="115" t="s">
        <v>107</v>
      </c>
      <c r="B26" s="158" t="s">
        <v>108</v>
      </c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2" x14ac:dyDescent="0.25">
      <c r="A27" s="115" t="s">
        <v>71</v>
      </c>
      <c r="B27" s="78" t="s">
        <v>109</v>
      </c>
      <c r="C27" s="78"/>
      <c r="D27" s="152"/>
      <c r="E27" s="152"/>
      <c r="F27" s="152"/>
      <c r="G27" s="152"/>
      <c r="H27" s="152"/>
      <c r="I27" s="153" t="s">
        <v>81</v>
      </c>
      <c r="J27" s="154"/>
      <c r="K27" s="155"/>
    </row>
    <row r="28" spans="1:12" ht="15" customHeight="1" x14ac:dyDescent="0.25">
      <c r="A28" s="136" t="s">
        <v>73</v>
      </c>
      <c r="B28" s="137" t="s">
        <v>74</v>
      </c>
      <c r="C28" s="136" t="s">
        <v>75</v>
      </c>
      <c r="D28" s="136" t="s">
        <v>76</v>
      </c>
      <c r="E28" s="114" t="s">
        <v>77</v>
      </c>
      <c r="F28" s="137" t="s">
        <v>39</v>
      </c>
      <c r="G28" s="137" t="s">
        <v>79</v>
      </c>
      <c r="H28" s="137" t="s">
        <v>80</v>
      </c>
      <c r="I28" s="148" t="s">
        <v>116</v>
      </c>
      <c r="J28" s="151" t="s">
        <v>117</v>
      </c>
      <c r="K28" s="156" t="s">
        <v>134</v>
      </c>
    </row>
    <row r="29" spans="1:12" x14ac:dyDescent="0.25">
      <c r="A29" s="136"/>
      <c r="B29" s="137"/>
      <c r="C29" s="136"/>
      <c r="D29" s="136"/>
      <c r="E29" s="114" t="s">
        <v>78</v>
      </c>
      <c r="F29" s="137"/>
      <c r="G29" s="137"/>
      <c r="H29" s="137"/>
      <c r="I29" s="148"/>
      <c r="J29" s="151"/>
      <c r="K29" s="157"/>
    </row>
    <row r="30" spans="1:12" x14ac:dyDescent="0.25">
      <c r="A30" s="149" t="s">
        <v>110</v>
      </c>
      <c r="B30" s="143" t="s">
        <v>111</v>
      </c>
      <c r="C30" s="144" t="s">
        <v>89</v>
      </c>
      <c r="D30" s="145" t="s">
        <v>112</v>
      </c>
      <c r="E30" s="146" t="s">
        <v>113</v>
      </c>
      <c r="F30" s="147">
        <v>41534</v>
      </c>
      <c r="G30" s="142">
        <v>0.45</v>
      </c>
      <c r="H30" s="142">
        <v>0.55000000000000004</v>
      </c>
      <c r="I30" s="163">
        <v>1509</v>
      </c>
      <c r="J30" s="163">
        <f>I30*6</f>
        <v>9054</v>
      </c>
      <c r="K30" s="167">
        <f t="shared" ref="K30" si="3">J30/F30</f>
        <v>0.21799008041604467</v>
      </c>
    </row>
    <row r="31" spans="1:12" x14ac:dyDescent="0.25">
      <c r="A31" s="150"/>
      <c r="B31" s="143"/>
      <c r="C31" s="144"/>
      <c r="D31" s="145"/>
      <c r="E31" s="146"/>
      <c r="F31" s="147"/>
      <c r="G31" s="142"/>
      <c r="H31" s="142"/>
      <c r="I31" s="164"/>
      <c r="J31" s="164"/>
      <c r="K31" s="168"/>
      <c r="L31" s="41"/>
    </row>
  </sheetData>
  <mergeCells count="115">
    <mergeCell ref="H30:H31"/>
    <mergeCell ref="I30:I31"/>
    <mergeCell ref="J30:J31"/>
    <mergeCell ref="K30:K31"/>
    <mergeCell ref="I28:I29"/>
    <mergeCell ref="J28:J29"/>
    <mergeCell ref="K28:K29"/>
    <mergeCell ref="A30:A31"/>
    <mergeCell ref="B30:B31"/>
    <mergeCell ref="C30:C31"/>
    <mergeCell ref="D30:D31"/>
    <mergeCell ref="E30:E31"/>
    <mergeCell ref="F30:F31"/>
    <mergeCell ref="G30:G31"/>
    <mergeCell ref="B26:K26"/>
    <mergeCell ref="D27:H27"/>
    <mergeCell ref="I27:K27"/>
    <mergeCell ref="A28:A29"/>
    <mergeCell ref="B28:B29"/>
    <mergeCell ref="C28:C29"/>
    <mergeCell ref="D28:D29"/>
    <mergeCell ref="F28:F29"/>
    <mergeCell ref="G28:G29"/>
    <mergeCell ref="H28:H29"/>
    <mergeCell ref="F23:F24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K21:K22"/>
    <mergeCell ref="F21:F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D15:D16"/>
    <mergeCell ref="F15:F16"/>
    <mergeCell ref="G15:G16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B13:K13"/>
    <mergeCell ref="D14:H14"/>
    <mergeCell ref="I14:K14"/>
    <mergeCell ref="I8:I9"/>
    <mergeCell ref="J8:J9"/>
    <mergeCell ref="K8:K9"/>
    <mergeCell ref="A19:A20"/>
    <mergeCell ref="B19:B20"/>
    <mergeCell ref="C19:C20"/>
    <mergeCell ref="D19:D20"/>
    <mergeCell ref="E19:E20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A10:A11"/>
    <mergeCell ref="B10:B11"/>
    <mergeCell ref="C10:C11"/>
    <mergeCell ref="D10:D11"/>
    <mergeCell ref="E10:E11"/>
    <mergeCell ref="F10:F11"/>
    <mergeCell ref="G10:G11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H10:H11"/>
    <mergeCell ref="I10:I11"/>
    <mergeCell ref="J10:J11"/>
    <mergeCell ref="K10:K11"/>
    <mergeCell ref="B4:K4"/>
    <mergeCell ref="I5:K5"/>
    <mergeCell ref="A6:A7"/>
    <mergeCell ref="B6:B7"/>
    <mergeCell ref="C6:C7"/>
    <mergeCell ref="D6:D7"/>
    <mergeCell ref="F6:F7"/>
    <mergeCell ref="G6:G7"/>
    <mergeCell ref="H6:H7"/>
    <mergeCell ref="I6:I7"/>
  </mergeCells>
  <printOptions horizontalCentered="1"/>
  <pageMargins left="0.25" right="0.25" top="0.25" bottom="0.2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80" zoomScaleNormal="80" workbookViewId="0">
      <selection activeCell="I3" sqref="I3"/>
    </sheetView>
  </sheetViews>
  <sheetFormatPr defaultRowHeight="15" x14ac:dyDescent="0.25"/>
  <cols>
    <col min="1" max="1" width="47.85546875" style="4" customWidth="1"/>
    <col min="2" max="2" width="51.7109375" style="4" customWidth="1"/>
    <col min="3" max="3" width="32.7109375" style="4" bestFit="1" customWidth="1"/>
    <col min="4" max="5" width="17.85546875" style="4" bestFit="1" customWidth="1"/>
    <col min="6" max="6" width="9.85546875" style="4" bestFit="1" customWidth="1"/>
    <col min="7" max="7" width="5.7109375" style="4" bestFit="1" customWidth="1"/>
    <col min="8" max="8" width="7.85546875" style="4" bestFit="1" customWidth="1"/>
    <col min="9" max="9" width="8.140625" style="4" bestFit="1" customWidth="1"/>
    <col min="10" max="10" width="10.85546875" style="4" bestFit="1" customWidth="1"/>
    <col min="11" max="11" width="13.42578125" style="4" customWidth="1"/>
    <col min="12" max="16384" width="9.140625" style="4"/>
  </cols>
  <sheetData>
    <row r="1" spans="1:11" x14ac:dyDescent="0.25">
      <c r="A1" s="80" t="s">
        <v>114</v>
      </c>
      <c r="J1" s="85" t="s">
        <v>118</v>
      </c>
      <c r="K1" s="86">
        <v>43008</v>
      </c>
    </row>
    <row r="2" spans="1:11" x14ac:dyDescent="0.25">
      <c r="A2" t="s">
        <v>115</v>
      </c>
    </row>
    <row r="4" spans="1:11" ht="15" customHeight="1" x14ac:dyDescent="0.25">
      <c r="A4" s="125" t="s">
        <v>69</v>
      </c>
      <c r="B4" s="158" t="s">
        <v>70</v>
      </c>
      <c r="C4" s="159"/>
      <c r="D4" s="159"/>
      <c r="E4" s="159"/>
      <c r="F4" s="159"/>
      <c r="G4" s="159"/>
      <c r="H4" s="159"/>
      <c r="I4" s="159"/>
      <c r="J4" s="159"/>
      <c r="K4" s="160"/>
    </row>
    <row r="5" spans="1:11" x14ac:dyDescent="0.25">
      <c r="A5" s="125" t="s">
        <v>71</v>
      </c>
      <c r="B5" s="78" t="s">
        <v>72</v>
      </c>
      <c r="C5" s="78"/>
      <c r="D5" s="82"/>
      <c r="E5" s="83"/>
      <c r="F5" s="83"/>
      <c r="G5" s="83"/>
      <c r="H5" s="84"/>
      <c r="I5" s="153" t="s">
        <v>81</v>
      </c>
      <c r="J5" s="154"/>
      <c r="K5" s="155"/>
    </row>
    <row r="6" spans="1:11" ht="15" customHeight="1" x14ac:dyDescent="0.25">
      <c r="A6" s="136" t="s">
        <v>73</v>
      </c>
      <c r="B6" s="137" t="s">
        <v>74</v>
      </c>
      <c r="C6" s="136" t="s">
        <v>75</v>
      </c>
      <c r="D6" s="136" t="s">
        <v>76</v>
      </c>
      <c r="E6" s="126" t="s">
        <v>77</v>
      </c>
      <c r="F6" s="137" t="s">
        <v>39</v>
      </c>
      <c r="G6" s="137" t="s">
        <v>79</v>
      </c>
      <c r="H6" s="137" t="s">
        <v>80</v>
      </c>
      <c r="I6" s="148" t="s">
        <v>116</v>
      </c>
      <c r="J6" s="151" t="s">
        <v>117</v>
      </c>
      <c r="K6" s="156" t="s">
        <v>134</v>
      </c>
    </row>
    <row r="7" spans="1:11" x14ac:dyDescent="0.25">
      <c r="A7" s="136"/>
      <c r="B7" s="137"/>
      <c r="C7" s="136"/>
      <c r="D7" s="136"/>
      <c r="E7" s="126" t="s">
        <v>78</v>
      </c>
      <c r="F7" s="137"/>
      <c r="G7" s="137"/>
      <c r="H7" s="137"/>
      <c r="I7" s="148"/>
      <c r="J7" s="151"/>
      <c r="K7" s="157"/>
    </row>
    <row r="8" spans="1:11" x14ac:dyDescent="0.25">
      <c r="A8" s="143" t="s">
        <v>82</v>
      </c>
      <c r="B8" s="143" t="s">
        <v>83</v>
      </c>
      <c r="C8" s="144" t="s">
        <v>84</v>
      </c>
      <c r="D8" s="145" t="s">
        <v>85</v>
      </c>
      <c r="E8" s="146" t="s">
        <v>86</v>
      </c>
      <c r="F8" s="147">
        <v>344258</v>
      </c>
      <c r="G8" s="142">
        <v>0.45</v>
      </c>
      <c r="H8" s="142">
        <v>0.55000000000000004</v>
      </c>
      <c r="I8" s="161">
        <v>98067</v>
      </c>
      <c r="J8" s="163">
        <f>I8*6</f>
        <v>588402</v>
      </c>
      <c r="K8" s="165">
        <f>J8/F8</f>
        <v>1.7091890384537178</v>
      </c>
    </row>
    <row r="9" spans="1:11" x14ac:dyDescent="0.25">
      <c r="A9" s="143"/>
      <c r="B9" s="143"/>
      <c r="C9" s="144"/>
      <c r="D9" s="145"/>
      <c r="E9" s="146"/>
      <c r="F9" s="147"/>
      <c r="G9" s="142"/>
      <c r="H9" s="142"/>
      <c r="I9" s="162"/>
      <c r="J9" s="164"/>
      <c r="K9" s="166"/>
    </row>
    <row r="10" spans="1:11" x14ac:dyDescent="0.25">
      <c r="A10" s="143" t="s">
        <v>87</v>
      </c>
      <c r="B10" s="143" t="s">
        <v>88</v>
      </c>
      <c r="C10" s="144" t="s">
        <v>89</v>
      </c>
      <c r="D10" s="145" t="s">
        <v>85</v>
      </c>
      <c r="E10" s="146" t="s">
        <v>90</v>
      </c>
      <c r="F10" s="147">
        <v>1190204</v>
      </c>
      <c r="G10" s="142">
        <v>0.45</v>
      </c>
      <c r="H10" s="142">
        <v>0.55000000000000004</v>
      </c>
      <c r="I10" s="161">
        <v>270515</v>
      </c>
      <c r="J10" s="163">
        <f>I10*6</f>
        <v>1623090</v>
      </c>
      <c r="K10" s="165">
        <f>J10/F10</f>
        <v>1.3637073980594923</v>
      </c>
    </row>
    <row r="11" spans="1:11" x14ac:dyDescent="0.25">
      <c r="A11" s="143"/>
      <c r="B11" s="143"/>
      <c r="C11" s="144"/>
      <c r="D11" s="145"/>
      <c r="E11" s="146"/>
      <c r="F11" s="147"/>
      <c r="G11" s="142"/>
      <c r="H11" s="142"/>
      <c r="I11" s="162"/>
      <c r="J11" s="164"/>
      <c r="K11" s="166"/>
    </row>
    <row r="12" spans="1:11" x14ac:dyDescent="0.25">
      <c r="J12" s="81"/>
    </row>
    <row r="13" spans="1:11" ht="15" customHeight="1" x14ac:dyDescent="0.25">
      <c r="A13" s="125" t="s">
        <v>91</v>
      </c>
      <c r="B13" s="158" t="s">
        <v>92</v>
      </c>
      <c r="C13" s="159"/>
      <c r="D13" s="159"/>
      <c r="E13" s="159"/>
      <c r="F13" s="159"/>
      <c r="G13" s="159"/>
      <c r="H13" s="159"/>
      <c r="I13" s="159"/>
      <c r="J13" s="159"/>
      <c r="K13" s="160"/>
    </row>
    <row r="14" spans="1:11" x14ac:dyDescent="0.25">
      <c r="A14" s="125" t="s">
        <v>71</v>
      </c>
      <c r="B14" s="78" t="s">
        <v>93</v>
      </c>
      <c r="C14" s="78"/>
      <c r="D14" s="152"/>
      <c r="E14" s="152"/>
      <c r="F14" s="152"/>
      <c r="G14" s="152"/>
      <c r="H14" s="152"/>
      <c r="I14" s="153" t="s">
        <v>81</v>
      </c>
      <c r="J14" s="154"/>
      <c r="K14" s="155"/>
    </row>
    <row r="15" spans="1:11" ht="15" customHeight="1" x14ac:dyDescent="0.25">
      <c r="A15" s="136" t="s">
        <v>73</v>
      </c>
      <c r="B15" s="137" t="s">
        <v>74</v>
      </c>
      <c r="C15" s="136" t="s">
        <v>75</v>
      </c>
      <c r="D15" s="138" t="s">
        <v>76</v>
      </c>
      <c r="E15" s="126" t="s">
        <v>77</v>
      </c>
      <c r="F15" s="140" t="s">
        <v>39</v>
      </c>
      <c r="G15" s="140" t="s">
        <v>79</v>
      </c>
      <c r="H15" s="140" t="s">
        <v>80</v>
      </c>
      <c r="I15" s="148" t="s">
        <v>116</v>
      </c>
      <c r="J15" s="151" t="s">
        <v>117</v>
      </c>
      <c r="K15" s="156" t="s">
        <v>134</v>
      </c>
    </row>
    <row r="16" spans="1:11" x14ac:dyDescent="0.25">
      <c r="A16" s="136"/>
      <c r="B16" s="137"/>
      <c r="C16" s="136"/>
      <c r="D16" s="139"/>
      <c r="E16" s="126" t="s">
        <v>78</v>
      </c>
      <c r="F16" s="141"/>
      <c r="G16" s="141"/>
      <c r="H16" s="141"/>
      <c r="I16" s="148"/>
      <c r="J16" s="151"/>
      <c r="K16" s="157"/>
    </row>
    <row r="17" spans="1:12" x14ac:dyDescent="0.25">
      <c r="A17" s="143" t="s">
        <v>94</v>
      </c>
      <c r="B17" s="143" t="s">
        <v>95</v>
      </c>
      <c r="C17" s="144" t="s">
        <v>96</v>
      </c>
      <c r="D17" s="145" t="s">
        <v>85</v>
      </c>
      <c r="E17" s="146" t="s">
        <v>97</v>
      </c>
      <c r="F17" s="147">
        <v>256530</v>
      </c>
      <c r="G17" s="142">
        <v>0.45</v>
      </c>
      <c r="H17" s="142">
        <v>0.55000000000000004</v>
      </c>
      <c r="I17" s="163">
        <v>18869</v>
      </c>
      <c r="J17" s="163">
        <f>I17*6</f>
        <v>113214</v>
      </c>
      <c r="K17" s="167">
        <f>J17/F17</f>
        <v>0.44132849959069115</v>
      </c>
      <c r="L17" s="4" t="s">
        <v>140</v>
      </c>
    </row>
    <row r="18" spans="1:12" x14ac:dyDescent="0.25">
      <c r="A18" s="143"/>
      <c r="B18" s="143"/>
      <c r="C18" s="144"/>
      <c r="D18" s="145"/>
      <c r="E18" s="146"/>
      <c r="F18" s="147"/>
      <c r="G18" s="142"/>
      <c r="H18" s="142"/>
      <c r="I18" s="164"/>
      <c r="J18" s="164"/>
      <c r="K18" s="168"/>
      <c r="L18" s="4" t="s">
        <v>141</v>
      </c>
    </row>
    <row r="19" spans="1:12" x14ac:dyDescent="0.25">
      <c r="A19" s="143" t="s">
        <v>98</v>
      </c>
      <c r="B19" s="143" t="s">
        <v>99</v>
      </c>
      <c r="C19" s="144" t="s">
        <v>96</v>
      </c>
      <c r="D19" s="145" t="s">
        <v>85</v>
      </c>
      <c r="E19" s="146" t="s">
        <v>100</v>
      </c>
      <c r="F19" s="147">
        <v>12234</v>
      </c>
      <c r="G19" s="142">
        <v>0.45</v>
      </c>
      <c r="H19" s="142">
        <v>0.55000000000000004</v>
      </c>
      <c r="I19" s="163">
        <v>5349</v>
      </c>
      <c r="J19" s="163">
        <f>I19*6</f>
        <v>32094</v>
      </c>
      <c r="K19" s="165">
        <f t="shared" ref="K19" si="0">J19/F19</f>
        <v>2.6233447768513978</v>
      </c>
    </row>
    <row r="20" spans="1:12" x14ac:dyDescent="0.25">
      <c r="A20" s="143"/>
      <c r="B20" s="143"/>
      <c r="C20" s="144"/>
      <c r="D20" s="145"/>
      <c r="E20" s="146"/>
      <c r="F20" s="147"/>
      <c r="G20" s="142"/>
      <c r="H20" s="142"/>
      <c r="I20" s="164"/>
      <c r="J20" s="164"/>
      <c r="K20" s="166"/>
    </row>
    <row r="21" spans="1:12" x14ac:dyDescent="0.25">
      <c r="A21" s="143" t="s">
        <v>101</v>
      </c>
      <c r="B21" s="143" t="s">
        <v>102</v>
      </c>
      <c r="C21" s="144" t="s">
        <v>89</v>
      </c>
      <c r="D21" s="145" t="s">
        <v>85</v>
      </c>
      <c r="E21" s="146" t="s">
        <v>103</v>
      </c>
      <c r="F21" s="147">
        <v>382978</v>
      </c>
      <c r="G21" s="142">
        <v>0.45</v>
      </c>
      <c r="H21" s="142">
        <v>0.55000000000000004</v>
      </c>
      <c r="I21" s="163">
        <v>28744</v>
      </c>
      <c r="J21" s="163">
        <f>I21*6</f>
        <v>172464</v>
      </c>
      <c r="K21" s="167">
        <f t="shared" ref="K21" si="1">J21/F21</f>
        <v>0.45032351727775488</v>
      </c>
    </row>
    <row r="22" spans="1:12" x14ac:dyDescent="0.25">
      <c r="A22" s="143"/>
      <c r="B22" s="143"/>
      <c r="C22" s="144"/>
      <c r="D22" s="145"/>
      <c r="E22" s="146"/>
      <c r="F22" s="147"/>
      <c r="G22" s="142"/>
      <c r="H22" s="142"/>
      <c r="I22" s="164"/>
      <c r="J22" s="164"/>
      <c r="K22" s="168"/>
    </row>
    <row r="23" spans="1:12" x14ac:dyDescent="0.25">
      <c r="A23" s="143" t="s">
        <v>104</v>
      </c>
      <c r="B23" s="143" t="s">
        <v>105</v>
      </c>
      <c r="C23" s="144" t="s">
        <v>89</v>
      </c>
      <c r="D23" s="145" t="s">
        <v>85</v>
      </c>
      <c r="E23" s="146" t="s">
        <v>106</v>
      </c>
      <c r="F23" s="147">
        <v>100246</v>
      </c>
      <c r="G23" s="142">
        <v>0.45</v>
      </c>
      <c r="H23" s="142">
        <v>0.55000000000000004</v>
      </c>
      <c r="I23" s="163">
        <v>2882</v>
      </c>
      <c r="J23" s="163">
        <f>I23*6</f>
        <v>17292</v>
      </c>
      <c r="K23" s="167">
        <f t="shared" ref="K23" si="2">J23/F23</f>
        <v>0.17249566067474015</v>
      </c>
    </row>
    <row r="24" spans="1:12" x14ac:dyDescent="0.25">
      <c r="A24" s="143"/>
      <c r="B24" s="143"/>
      <c r="C24" s="144"/>
      <c r="D24" s="145"/>
      <c r="E24" s="146"/>
      <c r="F24" s="147"/>
      <c r="G24" s="142"/>
      <c r="H24" s="142"/>
      <c r="I24" s="164"/>
      <c r="J24" s="164"/>
      <c r="K24" s="168"/>
    </row>
    <row r="25" spans="1:12" x14ac:dyDescent="0.25">
      <c r="J25" s="81"/>
    </row>
    <row r="26" spans="1:12" ht="15" customHeight="1" x14ac:dyDescent="0.25">
      <c r="A26" s="125" t="s">
        <v>107</v>
      </c>
      <c r="B26" s="158" t="s">
        <v>108</v>
      </c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2" x14ac:dyDescent="0.25">
      <c r="A27" s="125" t="s">
        <v>71</v>
      </c>
      <c r="B27" s="78" t="s">
        <v>109</v>
      </c>
      <c r="C27" s="78"/>
      <c r="D27" s="152"/>
      <c r="E27" s="152"/>
      <c r="F27" s="152"/>
      <c r="G27" s="152"/>
      <c r="H27" s="152"/>
      <c r="I27" s="153" t="s">
        <v>81</v>
      </c>
      <c r="J27" s="154"/>
      <c r="K27" s="155"/>
    </row>
    <row r="28" spans="1:12" ht="15" customHeight="1" x14ac:dyDescent="0.25">
      <c r="A28" s="136" t="s">
        <v>73</v>
      </c>
      <c r="B28" s="137" t="s">
        <v>74</v>
      </c>
      <c r="C28" s="136" t="s">
        <v>75</v>
      </c>
      <c r="D28" s="136" t="s">
        <v>76</v>
      </c>
      <c r="E28" s="126" t="s">
        <v>77</v>
      </c>
      <c r="F28" s="137" t="s">
        <v>39</v>
      </c>
      <c r="G28" s="137" t="s">
        <v>79</v>
      </c>
      <c r="H28" s="137" t="s">
        <v>80</v>
      </c>
      <c r="I28" s="148" t="s">
        <v>116</v>
      </c>
      <c r="J28" s="151" t="s">
        <v>117</v>
      </c>
      <c r="K28" s="156" t="s">
        <v>134</v>
      </c>
    </row>
    <row r="29" spans="1:12" x14ac:dyDescent="0.25">
      <c r="A29" s="136"/>
      <c r="B29" s="137"/>
      <c r="C29" s="136"/>
      <c r="D29" s="136"/>
      <c r="E29" s="126" t="s">
        <v>78</v>
      </c>
      <c r="F29" s="137"/>
      <c r="G29" s="137"/>
      <c r="H29" s="137"/>
      <c r="I29" s="148"/>
      <c r="J29" s="151"/>
      <c r="K29" s="157"/>
    </row>
    <row r="30" spans="1:12" x14ac:dyDescent="0.25">
      <c r="A30" s="149" t="s">
        <v>110</v>
      </c>
      <c r="B30" s="143" t="s">
        <v>142</v>
      </c>
      <c r="C30" s="144" t="s">
        <v>89</v>
      </c>
      <c r="D30" s="145" t="s">
        <v>112</v>
      </c>
      <c r="E30" s="146" t="s">
        <v>113</v>
      </c>
      <c r="F30" s="147">
        <v>41534</v>
      </c>
      <c r="G30" s="142">
        <v>0.45</v>
      </c>
      <c r="H30" s="142">
        <v>0.55000000000000004</v>
      </c>
      <c r="I30" s="163">
        <v>1509</v>
      </c>
      <c r="J30" s="163">
        <f>I30*6</f>
        <v>9054</v>
      </c>
      <c r="K30" s="167">
        <f t="shared" ref="K30" si="3">J30/F30</f>
        <v>0.21799008041604467</v>
      </c>
    </row>
    <row r="31" spans="1:12" x14ac:dyDescent="0.25">
      <c r="A31" s="150"/>
      <c r="B31" s="143"/>
      <c r="C31" s="144"/>
      <c r="D31" s="145"/>
      <c r="E31" s="146"/>
      <c r="F31" s="147"/>
      <c r="G31" s="142"/>
      <c r="H31" s="142"/>
      <c r="I31" s="164"/>
      <c r="J31" s="164"/>
      <c r="K31" s="168"/>
      <c r="L31" s="41"/>
    </row>
  </sheetData>
  <mergeCells count="115">
    <mergeCell ref="B4:K4"/>
    <mergeCell ref="I5:K5"/>
    <mergeCell ref="A6:A7"/>
    <mergeCell ref="B6:B7"/>
    <mergeCell ref="C6:C7"/>
    <mergeCell ref="D6:D7"/>
    <mergeCell ref="F6:F7"/>
    <mergeCell ref="G6:G7"/>
    <mergeCell ref="H6:H7"/>
    <mergeCell ref="I6:I7"/>
    <mergeCell ref="A10:A11"/>
    <mergeCell ref="B10:B11"/>
    <mergeCell ref="C10:C11"/>
    <mergeCell ref="D10:D11"/>
    <mergeCell ref="E10:E11"/>
    <mergeCell ref="F10:F11"/>
    <mergeCell ref="G10:G11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H10:H11"/>
    <mergeCell ref="I10:I11"/>
    <mergeCell ref="J10:J11"/>
    <mergeCell ref="K10:K11"/>
    <mergeCell ref="B13:K13"/>
    <mergeCell ref="D14:H14"/>
    <mergeCell ref="I14:K14"/>
    <mergeCell ref="I8:I9"/>
    <mergeCell ref="J8:J9"/>
    <mergeCell ref="K8:K9"/>
    <mergeCell ref="A19:A20"/>
    <mergeCell ref="B19:B20"/>
    <mergeCell ref="C19:C20"/>
    <mergeCell ref="D19:D20"/>
    <mergeCell ref="E19:E20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F15:F16"/>
    <mergeCell ref="G15:G16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3:F24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K21:K22"/>
    <mergeCell ref="F21:F22"/>
    <mergeCell ref="B26:K26"/>
    <mergeCell ref="D27:H27"/>
    <mergeCell ref="I27:K27"/>
    <mergeCell ref="A28:A29"/>
    <mergeCell ref="B28:B29"/>
    <mergeCell ref="C28:C29"/>
    <mergeCell ref="D28:D29"/>
    <mergeCell ref="F28:F29"/>
    <mergeCell ref="G28:G29"/>
    <mergeCell ref="H28:H29"/>
    <mergeCell ref="H30:H31"/>
    <mergeCell ref="I30:I31"/>
    <mergeCell ref="J30:J31"/>
    <mergeCell ref="K30:K31"/>
    <mergeCell ref="I28:I29"/>
    <mergeCell ref="J28:J29"/>
    <mergeCell ref="K28:K29"/>
    <mergeCell ref="A30:A31"/>
    <mergeCell ref="B30:B31"/>
    <mergeCell ref="C30:C31"/>
    <mergeCell ref="D30:D31"/>
    <mergeCell ref="E30:E31"/>
    <mergeCell ref="F30:F31"/>
    <mergeCell ref="G30:G31"/>
  </mergeCells>
  <printOptions horizontalCentered="1"/>
  <pageMargins left="0.25" right="0.25" top="0.25" bottom="0.25" header="0.3" footer="0.3"/>
  <pageSetup paperSize="9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tabSelected="1" topLeftCell="A4" zoomScale="80" zoomScaleNormal="80" workbookViewId="0">
      <selection activeCell="A34" sqref="A34"/>
    </sheetView>
  </sheetViews>
  <sheetFormatPr defaultRowHeight="15" x14ac:dyDescent="0.25"/>
  <cols>
    <col min="1" max="1" width="46.42578125" style="4" customWidth="1"/>
    <col min="2" max="2" width="48.140625" style="4" customWidth="1"/>
    <col min="3" max="3" width="32.7109375" style="4" bestFit="1" customWidth="1"/>
    <col min="4" max="5" width="17.85546875" style="4" bestFit="1" customWidth="1"/>
    <col min="6" max="6" width="9.85546875" style="4" bestFit="1" customWidth="1"/>
    <col min="7" max="7" width="5.7109375" style="4" bestFit="1" customWidth="1"/>
    <col min="8" max="8" width="7.85546875" style="4" bestFit="1" customWidth="1"/>
    <col min="9" max="9" width="8.140625" style="4" customWidth="1"/>
    <col min="10" max="10" width="10.85546875" style="4" bestFit="1" customWidth="1"/>
    <col min="11" max="11" width="13.42578125" style="40" customWidth="1"/>
    <col min="12" max="12" width="8.140625" style="4" bestFit="1" customWidth="1"/>
    <col min="13" max="13" width="10.85546875" style="4" bestFit="1" customWidth="1"/>
    <col min="14" max="14" width="13.42578125" style="40" customWidth="1"/>
    <col min="15" max="15" width="8.140625" style="4" bestFit="1" customWidth="1"/>
    <col min="16" max="16" width="10.85546875" style="4" bestFit="1" customWidth="1"/>
    <col min="17" max="17" width="13.42578125" style="40" customWidth="1"/>
    <col min="18" max="18" width="8.140625" style="4" bestFit="1" customWidth="1"/>
    <col min="19" max="19" width="10.85546875" style="4" bestFit="1" customWidth="1"/>
    <col min="20" max="20" width="13.42578125" style="4" customWidth="1"/>
    <col min="21" max="21" width="8.140625" style="4" bestFit="1" customWidth="1"/>
    <col min="22" max="22" width="10.85546875" style="4" bestFit="1" customWidth="1"/>
    <col min="23" max="23" width="13.7109375" style="4" customWidth="1"/>
    <col min="24" max="16384" width="9.140625" style="4"/>
  </cols>
  <sheetData>
    <row r="1" spans="1:23" ht="23.25" x14ac:dyDescent="0.35">
      <c r="A1" s="124" t="s">
        <v>138</v>
      </c>
    </row>
    <row r="3" spans="1:23" x14ac:dyDescent="0.25">
      <c r="A3" s="80" t="s">
        <v>114</v>
      </c>
      <c r="J3" s="85"/>
    </row>
    <row r="4" spans="1:23" x14ac:dyDescent="0.25">
      <c r="A4" t="s">
        <v>115</v>
      </c>
    </row>
    <row r="5" spans="1:23" ht="15.75" thickBot="1" x14ac:dyDescent="0.3"/>
    <row r="6" spans="1:23" ht="15" customHeight="1" x14ac:dyDescent="0.25">
      <c r="A6" s="122" t="s">
        <v>69</v>
      </c>
      <c r="B6" s="205" t="s">
        <v>70</v>
      </c>
      <c r="C6" s="205"/>
      <c r="D6" s="205"/>
      <c r="E6" s="205"/>
      <c r="F6" s="205"/>
      <c r="G6" s="205"/>
      <c r="H6" s="206"/>
      <c r="I6" s="176">
        <v>42886</v>
      </c>
      <c r="J6" s="177"/>
      <c r="K6" s="178"/>
      <c r="L6" s="176">
        <v>42916</v>
      </c>
      <c r="M6" s="177"/>
      <c r="N6" s="178"/>
      <c r="O6" s="176">
        <v>42946</v>
      </c>
      <c r="P6" s="177"/>
      <c r="Q6" s="178"/>
      <c r="R6" s="176">
        <v>42978</v>
      </c>
      <c r="S6" s="177"/>
      <c r="T6" s="178"/>
      <c r="U6" s="176">
        <v>43008</v>
      </c>
      <c r="V6" s="177"/>
      <c r="W6" s="178"/>
    </row>
    <row r="7" spans="1:23" x14ac:dyDescent="0.25">
      <c r="A7" s="122" t="s">
        <v>71</v>
      </c>
      <c r="B7" s="78" t="s">
        <v>72</v>
      </c>
      <c r="C7" s="78"/>
      <c r="D7" s="82"/>
      <c r="E7" s="83"/>
      <c r="F7" s="83"/>
      <c r="G7" s="83"/>
      <c r="H7" s="83"/>
      <c r="I7" s="179" t="s">
        <v>81</v>
      </c>
      <c r="J7" s="154"/>
      <c r="K7" s="180"/>
      <c r="L7" s="179" t="s">
        <v>81</v>
      </c>
      <c r="M7" s="154"/>
      <c r="N7" s="180"/>
      <c r="O7" s="179" t="s">
        <v>81</v>
      </c>
      <c r="P7" s="154"/>
      <c r="Q7" s="180"/>
      <c r="R7" s="179" t="s">
        <v>81</v>
      </c>
      <c r="S7" s="154"/>
      <c r="T7" s="180"/>
      <c r="U7" s="179" t="s">
        <v>81</v>
      </c>
      <c r="V7" s="154"/>
      <c r="W7" s="180"/>
    </row>
    <row r="8" spans="1:23" ht="15" customHeight="1" x14ac:dyDescent="0.25">
      <c r="A8" s="136" t="s">
        <v>73</v>
      </c>
      <c r="B8" s="137" t="s">
        <v>74</v>
      </c>
      <c r="C8" s="136" t="s">
        <v>75</v>
      </c>
      <c r="D8" s="136" t="s">
        <v>76</v>
      </c>
      <c r="E8" s="123" t="s">
        <v>77</v>
      </c>
      <c r="F8" s="137" t="s">
        <v>39</v>
      </c>
      <c r="G8" s="137" t="s">
        <v>79</v>
      </c>
      <c r="H8" s="210" t="s">
        <v>80</v>
      </c>
      <c r="I8" s="181" t="s">
        <v>116</v>
      </c>
      <c r="J8" s="151" t="s">
        <v>117</v>
      </c>
      <c r="K8" s="193" t="s">
        <v>134</v>
      </c>
      <c r="L8" s="181" t="s">
        <v>116</v>
      </c>
      <c r="M8" s="151" t="s">
        <v>117</v>
      </c>
      <c r="N8" s="193" t="s">
        <v>134</v>
      </c>
      <c r="O8" s="181" t="s">
        <v>116</v>
      </c>
      <c r="P8" s="151" t="s">
        <v>117</v>
      </c>
      <c r="Q8" s="193" t="s">
        <v>134</v>
      </c>
      <c r="R8" s="181" t="s">
        <v>116</v>
      </c>
      <c r="S8" s="151" t="s">
        <v>117</v>
      </c>
      <c r="T8" s="182" t="s">
        <v>134</v>
      </c>
      <c r="U8" s="181" t="s">
        <v>116</v>
      </c>
      <c r="V8" s="151" t="s">
        <v>117</v>
      </c>
      <c r="W8" s="182" t="s">
        <v>134</v>
      </c>
    </row>
    <row r="9" spans="1:23" x14ac:dyDescent="0.25">
      <c r="A9" s="136"/>
      <c r="B9" s="137"/>
      <c r="C9" s="136"/>
      <c r="D9" s="136"/>
      <c r="E9" s="123" t="s">
        <v>78</v>
      </c>
      <c r="F9" s="137"/>
      <c r="G9" s="137"/>
      <c r="H9" s="210"/>
      <c r="I9" s="181"/>
      <c r="J9" s="151"/>
      <c r="K9" s="194"/>
      <c r="L9" s="181"/>
      <c r="M9" s="151"/>
      <c r="N9" s="194"/>
      <c r="O9" s="181"/>
      <c r="P9" s="151"/>
      <c r="Q9" s="194"/>
      <c r="R9" s="181"/>
      <c r="S9" s="151"/>
      <c r="T9" s="183"/>
      <c r="U9" s="181"/>
      <c r="V9" s="151"/>
      <c r="W9" s="183"/>
    </row>
    <row r="10" spans="1:23" x14ac:dyDescent="0.25">
      <c r="A10" s="143" t="s">
        <v>82</v>
      </c>
      <c r="B10" s="143" t="s">
        <v>83</v>
      </c>
      <c r="C10" s="144" t="s">
        <v>84</v>
      </c>
      <c r="D10" s="145" t="s">
        <v>85</v>
      </c>
      <c r="E10" s="146" t="s">
        <v>86</v>
      </c>
      <c r="F10" s="147">
        <v>344258</v>
      </c>
      <c r="G10" s="142">
        <v>0.45</v>
      </c>
      <c r="H10" s="204">
        <v>0.55000000000000004</v>
      </c>
      <c r="I10" s="189">
        <v>61875</v>
      </c>
      <c r="J10" s="163">
        <f>I10*6</f>
        <v>371250</v>
      </c>
      <c r="K10" s="186">
        <f>J10/F10</f>
        <v>1.0784063115454108</v>
      </c>
      <c r="L10" s="195">
        <v>63591</v>
      </c>
      <c r="M10" s="197">
        <f>L10*6</f>
        <v>381546</v>
      </c>
      <c r="N10" s="199">
        <f>M10/F10</f>
        <v>1.10831411325227</v>
      </c>
      <c r="O10" s="189">
        <v>66361</v>
      </c>
      <c r="P10" s="163">
        <f>O10*6</f>
        <v>398166</v>
      </c>
      <c r="Q10" s="186">
        <f>P10/F10</f>
        <v>1.1565918584317576</v>
      </c>
      <c r="R10" s="189">
        <v>77561</v>
      </c>
      <c r="S10" s="163">
        <f>R10*6</f>
        <v>465366</v>
      </c>
      <c r="T10" s="184">
        <f>S10/F10</f>
        <v>1.3517942938145229</v>
      </c>
      <c r="U10" s="161">
        <v>98067</v>
      </c>
      <c r="V10" s="163">
        <f>U10*6</f>
        <v>588402</v>
      </c>
      <c r="W10" s="184">
        <f>V10/F10</f>
        <v>1.7091890384537178</v>
      </c>
    </row>
    <row r="11" spans="1:23" x14ac:dyDescent="0.25">
      <c r="A11" s="143"/>
      <c r="B11" s="143"/>
      <c r="C11" s="144"/>
      <c r="D11" s="145"/>
      <c r="E11" s="146"/>
      <c r="F11" s="147"/>
      <c r="G11" s="142"/>
      <c r="H11" s="204"/>
      <c r="I11" s="190"/>
      <c r="J11" s="164"/>
      <c r="K11" s="187"/>
      <c r="L11" s="196"/>
      <c r="M11" s="198"/>
      <c r="N11" s="200"/>
      <c r="O11" s="190"/>
      <c r="P11" s="164"/>
      <c r="Q11" s="187"/>
      <c r="R11" s="190"/>
      <c r="S11" s="164"/>
      <c r="T11" s="185"/>
      <c r="U11" s="162"/>
      <c r="V11" s="164"/>
      <c r="W11" s="185"/>
    </row>
    <row r="12" spans="1:23" x14ac:dyDescent="0.25">
      <c r="A12" s="143" t="s">
        <v>87</v>
      </c>
      <c r="B12" s="143" t="s">
        <v>88</v>
      </c>
      <c r="C12" s="144" t="s">
        <v>89</v>
      </c>
      <c r="D12" s="145" t="s">
        <v>85</v>
      </c>
      <c r="E12" s="146" t="s">
        <v>90</v>
      </c>
      <c r="F12" s="147">
        <v>1190204</v>
      </c>
      <c r="G12" s="142">
        <v>0.45</v>
      </c>
      <c r="H12" s="204">
        <v>0.55000000000000004</v>
      </c>
      <c r="I12" s="189">
        <v>173417</v>
      </c>
      <c r="J12" s="163">
        <f>I12*6</f>
        <v>1040502</v>
      </c>
      <c r="K12" s="186">
        <f>J12/F12</f>
        <v>0.87422156201793977</v>
      </c>
      <c r="L12" s="195">
        <v>188170</v>
      </c>
      <c r="M12" s="197">
        <f>L12*6</f>
        <v>1129020</v>
      </c>
      <c r="N12" s="199">
        <f>M12/F12</f>
        <v>0.94859368646047237</v>
      </c>
      <c r="O12" s="189">
        <v>249001</v>
      </c>
      <c r="P12" s="163">
        <f>O12*6</f>
        <v>1494006</v>
      </c>
      <c r="Q12" s="186">
        <f>P12/F12</f>
        <v>1.2552520408266146</v>
      </c>
      <c r="R12" s="189">
        <v>264058</v>
      </c>
      <c r="S12" s="163">
        <f>R12*6</f>
        <v>1584348</v>
      </c>
      <c r="T12" s="184">
        <f>S12/F12</f>
        <v>1.3311566756623234</v>
      </c>
      <c r="U12" s="161">
        <v>270515</v>
      </c>
      <c r="V12" s="163">
        <f>U12*6</f>
        <v>1623090</v>
      </c>
      <c r="W12" s="184">
        <f>V12/F12</f>
        <v>1.3637073980594923</v>
      </c>
    </row>
    <row r="13" spans="1:23" ht="15.75" thickBot="1" x14ac:dyDescent="0.3">
      <c r="A13" s="143"/>
      <c r="B13" s="143"/>
      <c r="C13" s="144"/>
      <c r="D13" s="145"/>
      <c r="E13" s="146"/>
      <c r="F13" s="147"/>
      <c r="G13" s="142"/>
      <c r="H13" s="204"/>
      <c r="I13" s="191"/>
      <c r="J13" s="171"/>
      <c r="K13" s="192"/>
      <c r="L13" s="201"/>
      <c r="M13" s="202"/>
      <c r="N13" s="203"/>
      <c r="O13" s="191"/>
      <c r="P13" s="171"/>
      <c r="Q13" s="192"/>
      <c r="R13" s="191"/>
      <c r="S13" s="171"/>
      <c r="T13" s="188"/>
      <c r="U13" s="162"/>
      <c r="V13" s="164"/>
      <c r="W13" s="185"/>
    </row>
    <row r="14" spans="1:23" ht="15.75" thickBot="1" x14ac:dyDescent="0.3">
      <c r="J14" s="81"/>
    </row>
    <row r="15" spans="1:23" ht="15" customHeight="1" x14ac:dyDescent="0.25">
      <c r="A15" s="122" t="s">
        <v>91</v>
      </c>
      <c r="B15" s="205" t="s">
        <v>92</v>
      </c>
      <c r="C15" s="205"/>
      <c r="D15" s="205"/>
      <c r="E15" s="205"/>
      <c r="F15" s="205"/>
      <c r="G15" s="205"/>
      <c r="H15" s="206"/>
      <c r="I15" s="176">
        <v>42886</v>
      </c>
      <c r="J15" s="177"/>
      <c r="K15" s="207"/>
      <c r="L15" s="176">
        <v>42916</v>
      </c>
      <c r="M15" s="177"/>
      <c r="N15" s="178"/>
      <c r="O15" s="176">
        <v>42946</v>
      </c>
      <c r="P15" s="177"/>
      <c r="Q15" s="178"/>
      <c r="R15" s="176">
        <v>42978</v>
      </c>
      <c r="S15" s="177"/>
      <c r="T15" s="178"/>
      <c r="U15" s="176">
        <v>43008</v>
      </c>
      <c r="V15" s="177"/>
      <c r="W15" s="178"/>
    </row>
    <row r="16" spans="1:23" x14ac:dyDescent="0.25">
      <c r="A16" s="122" t="s">
        <v>71</v>
      </c>
      <c r="B16" s="78" t="s">
        <v>93</v>
      </c>
      <c r="C16" s="78"/>
      <c r="D16" s="152"/>
      <c r="E16" s="152"/>
      <c r="F16" s="152"/>
      <c r="G16" s="152"/>
      <c r="H16" s="153"/>
      <c r="I16" s="179" t="s">
        <v>81</v>
      </c>
      <c r="J16" s="154"/>
      <c r="K16" s="154"/>
      <c r="L16" s="179" t="s">
        <v>81</v>
      </c>
      <c r="M16" s="154"/>
      <c r="N16" s="180"/>
      <c r="O16" s="179" t="s">
        <v>81</v>
      </c>
      <c r="P16" s="154"/>
      <c r="Q16" s="180"/>
      <c r="R16" s="179" t="s">
        <v>81</v>
      </c>
      <c r="S16" s="154"/>
      <c r="T16" s="180"/>
      <c r="U16" s="179" t="s">
        <v>81</v>
      </c>
      <c r="V16" s="154"/>
      <c r="W16" s="180"/>
    </row>
    <row r="17" spans="1:23" ht="15" customHeight="1" x14ac:dyDescent="0.25">
      <c r="A17" s="136" t="s">
        <v>73</v>
      </c>
      <c r="B17" s="137" t="s">
        <v>74</v>
      </c>
      <c r="C17" s="136" t="s">
        <v>75</v>
      </c>
      <c r="D17" s="138" t="s">
        <v>76</v>
      </c>
      <c r="E17" s="123" t="s">
        <v>77</v>
      </c>
      <c r="F17" s="140" t="s">
        <v>39</v>
      </c>
      <c r="G17" s="140" t="s">
        <v>79</v>
      </c>
      <c r="H17" s="212" t="s">
        <v>80</v>
      </c>
      <c r="I17" s="181" t="s">
        <v>116</v>
      </c>
      <c r="J17" s="151" t="s">
        <v>117</v>
      </c>
      <c r="K17" s="214" t="s">
        <v>134</v>
      </c>
      <c r="L17" s="181" t="s">
        <v>116</v>
      </c>
      <c r="M17" s="151" t="s">
        <v>117</v>
      </c>
      <c r="N17" s="193" t="s">
        <v>134</v>
      </c>
      <c r="O17" s="181" t="s">
        <v>116</v>
      </c>
      <c r="P17" s="151" t="s">
        <v>117</v>
      </c>
      <c r="Q17" s="193" t="s">
        <v>134</v>
      </c>
      <c r="R17" s="181" t="s">
        <v>116</v>
      </c>
      <c r="S17" s="151" t="s">
        <v>117</v>
      </c>
      <c r="T17" s="182" t="s">
        <v>134</v>
      </c>
      <c r="U17" s="181" t="s">
        <v>116</v>
      </c>
      <c r="V17" s="151" t="s">
        <v>117</v>
      </c>
      <c r="W17" s="182" t="s">
        <v>134</v>
      </c>
    </row>
    <row r="18" spans="1:23" x14ac:dyDescent="0.25">
      <c r="A18" s="136"/>
      <c r="B18" s="137"/>
      <c r="C18" s="136"/>
      <c r="D18" s="139"/>
      <c r="E18" s="123" t="s">
        <v>78</v>
      </c>
      <c r="F18" s="141"/>
      <c r="G18" s="141"/>
      <c r="H18" s="213"/>
      <c r="I18" s="181"/>
      <c r="J18" s="151"/>
      <c r="K18" s="215"/>
      <c r="L18" s="181"/>
      <c r="M18" s="151"/>
      <c r="N18" s="194"/>
      <c r="O18" s="181"/>
      <c r="P18" s="151"/>
      <c r="Q18" s="194"/>
      <c r="R18" s="181"/>
      <c r="S18" s="151"/>
      <c r="T18" s="183"/>
      <c r="U18" s="181"/>
      <c r="V18" s="151"/>
      <c r="W18" s="183"/>
    </row>
    <row r="19" spans="1:23" x14ac:dyDescent="0.25">
      <c r="A19" s="143" t="s">
        <v>94</v>
      </c>
      <c r="B19" s="143" t="s">
        <v>95</v>
      </c>
      <c r="C19" s="144" t="s">
        <v>96</v>
      </c>
      <c r="D19" s="145" t="s">
        <v>85</v>
      </c>
      <c r="E19" s="146" t="s">
        <v>97</v>
      </c>
      <c r="F19" s="147">
        <v>256530</v>
      </c>
      <c r="G19" s="142">
        <v>0.45</v>
      </c>
      <c r="H19" s="204">
        <v>0.55000000000000004</v>
      </c>
      <c r="I19" s="169">
        <v>28</v>
      </c>
      <c r="J19" s="163">
        <f>I19*6</f>
        <v>168</v>
      </c>
      <c r="K19" s="208">
        <f>J19/F19</f>
        <v>6.548941644252134E-4</v>
      </c>
      <c r="L19" s="169">
        <v>29</v>
      </c>
      <c r="M19" s="163">
        <f>L19*6</f>
        <v>174</v>
      </c>
      <c r="N19" s="186">
        <f>M19/F19</f>
        <v>6.7828324172611385E-4</v>
      </c>
      <c r="O19" s="169">
        <v>38</v>
      </c>
      <c r="P19" s="163">
        <f>O19*6</f>
        <v>228</v>
      </c>
      <c r="Q19" s="186">
        <f>P19/F19</f>
        <v>8.8878493743421824E-4</v>
      </c>
      <c r="R19" s="169">
        <v>356</v>
      </c>
      <c r="S19" s="163">
        <f>R19*6</f>
        <v>2136</v>
      </c>
      <c r="T19" s="172">
        <f>S19/F19</f>
        <v>8.3265115191205712E-3</v>
      </c>
      <c r="U19" s="169">
        <v>18869</v>
      </c>
      <c r="V19" s="163">
        <f>U19*6</f>
        <v>113214</v>
      </c>
      <c r="W19" s="172">
        <f>V19/F19</f>
        <v>0.44132849959069115</v>
      </c>
    </row>
    <row r="20" spans="1:23" x14ac:dyDescent="0.25">
      <c r="A20" s="143"/>
      <c r="B20" s="143"/>
      <c r="C20" s="144"/>
      <c r="D20" s="145"/>
      <c r="E20" s="146"/>
      <c r="F20" s="147"/>
      <c r="G20" s="142"/>
      <c r="H20" s="204"/>
      <c r="I20" s="174"/>
      <c r="J20" s="164"/>
      <c r="K20" s="211"/>
      <c r="L20" s="174"/>
      <c r="M20" s="164"/>
      <c r="N20" s="187"/>
      <c r="O20" s="174"/>
      <c r="P20" s="164"/>
      <c r="Q20" s="187"/>
      <c r="R20" s="174"/>
      <c r="S20" s="164"/>
      <c r="T20" s="175"/>
      <c r="U20" s="174"/>
      <c r="V20" s="164"/>
      <c r="W20" s="175"/>
    </row>
    <row r="21" spans="1:23" x14ac:dyDescent="0.25">
      <c r="A21" s="143" t="s">
        <v>98</v>
      </c>
      <c r="B21" s="143" t="s">
        <v>99</v>
      </c>
      <c r="C21" s="144" t="s">
        <v>96</v>
      </c>
      <c r="D21" s="145" t="s">
        <v>85</v>
      </c>
      <c r="E21" s="146" t="s">
        <v>100</v>
      </c>
      <c r="F21" s="147">
        <v>12234</v>
      </c>
      <c r="G21" s="142">
        <v>0.45</v>
      </c>
      <c r="H21" s="204">
        <v>0.55000000000000004</v>
      </c>
      <c r="I21" s="169">
        <v>1030</v>
      </c>
      <c r="J21" s="163">
        <f>I21*6</f>
        <v>6180</v>
      </c>
      <c r="K21" s="208">
        <f t="shared" ref="K21" si="0">J21/F21</f>
        <v>0.50514958312898484</v>
      </c>
      <c r="L21" s="169">
        <v>1030</v>
      </c>
      <c r="M21" s="163">
        <f>L21*6</f>
        <v>6180</v>
      </c>
      <c r="N21" s="186">
        <f t="shared" ref="N21" si="1">M21/F21</f>
        <v>0.50514958312898484</v>
      </c>
      <c r="O21" s="169">
        <v>5334</v>
      </c>
      <c r="P21" s="163">
        <f>O21*6</f>
        <v>32004</v>
      </c>
      <c r="Q21" s="186">
        <f t="shared" ref="Q21" si="2">P21/F21</f>
        <v>2.6159882295242767</v>
      </c>
      <c r="R21" s="169">
        <v>5349</v>
      </c>
      <c r="S21" s="163">
        <f>R21*6</f>
        <v>32094</v>
      </c>
      <c r="T21" s="186">
        <f t="shared" ref="T21" si="3">S21/F21</f>
        <v>2.6233447768513978</v>
      </c>
      <c r="U21" s="169">
        <v>5349</v>
      </c>
      <c r="V21" s="163">
        <f>U21*6</f>
        <v>32094</v>
      </c>
      <c r="W21" s="184">
        <f t="shared" ref="W21" si="4">V21/F21</f>
        <v>2.6233447768513978</v>
      </c>
    </row>
    <row r="22" spans="1:23" x14ac:dyDescent="0.25">
      <c r="A22" s="143"/>
      <c r="B22" s="143"/>
      <c r="C22" s="144"/>
      <c r="D22" s="145"/>
      <c r="E22" s="146"/>
      <c r="F22" s="147"/>
      <c r="G22" s="142"/>
      <c r="H22" s="204"/>
      <c r="I22" s="174"/>
      <c r="J22" s="164"/>
      <c r="K22" s="211"/>
      <c r="L22" s="174"/>
      <c r="M22" s="164"/>
      <c r="N22" s="187"/>
      <c r="O22" s="174"/>
      <c r="P22" s="164"/>
      <c r="Q22" s="187"/>
      <c r="R22" s="174"/>
      <c r="S22" s="164"/>
      <c r="T22" s="187"/>
      <c r="U22" s="174"/>
      <c r="V22" s="164"/>
      <c r="W22" s="185"/>
    </row>
    <row r="23" spans="1:23" x14ac:dyDescent="0.25">
      <c r="A23" s="143" t="s">
        <v>101</v>
      </c>
      <c r="B23" s="143" t="s">
        <v>102</v>
      </c>
      <c r="C23" s="144" t="s">
        <v>89</v>
      </c>
      <c r="D23" s="145" t="s">
        <v>85</v>
      </c>
      <c r="E23" s="146" t="s">
        <v>103</v>
      </c>
      <c r="F23" s="147">
        <v>382978</v>
      </c>
      <c r="G23" s="142">
        <v>0.45</v>
      </c>
      <c r="H23" s="204">
        <v>0.55000000000000004</v>
      </c>
      <c r="I23" s="169">
        <v>18806</v>
      </c>
      <c r="J23" s="163">
        <f>I23*6</f>
        <v>112836</v>
      </c>
      <c r="K23" s="208">
        <f t="shared" ref="K23" si="5">J23/F23</f>
        <v>0.29462788985268085</v>
      </c>
      <c r="L23" s="169">
        <v>20711</v>
      </c>
      <c r="M23" s="163">
        <f>L23*6</f>
        <v>124266</v>
      </c>
      <c r="N23" s="186">
        <f t="shared" ref="N23" si="6">M23/F23</f>
        <v>0.32447294622667622</v>
      </c>
      <c r="O23" s="169">
        <v>22860</v>
      </c>
      <c r="P23" s="163">
        <f>O23*6</f>
        <v>137160</v>
      </c>
      <c r="Q23" s="186">
        <f t="shared" ref="Q23" si="7">P23/F23</f>
        <v>0.35814067648794445</v>
      </c>
      <c r="R23" s="169">
        <v>28292</v>
      </c>
      <c r="S23" s="163">
        <f>R23*6</f>
        <v>169752</v>
      </c>
      <c r="T23" s="172">
        <f t="shared" ref="T23" si="8">S23/F23</f>
        <v>0.44324217056854442</v>
      </c>
      <c r="U23" s="169">
        <v>28744</v>
      </c>
      <c r="V23" s="163">
        <f>U23*6</f>
        <v>172464</v>
      </c>
      <c r="W23" s="172">
        <f t="shared" ref="W23" si="9">V23/F23</f>
        <v>0.45032351727775488</v>
      </c>
    </row>
    <row r="24" spans="1:23" x14ac:dyDescent="0.25">
      <c r="A24" s="143"/>
      <c r="B24" s="143"/>
      <c r="C24" s="144"/>
      <c r="D24" s="145"/>
      <c r="E24" s="146"/>
      <c r="F24" s="147"/>
      <c r="G24" s="142"/>
      <c r="H24" s="204"/>
      <c r="I24" s="174"/>
      <c r="J24" s="164"/>
      <c r="K24" s="211"/>
      <c r="L24" s="174"/>
      <c r="M24" s="164"/>
      <c r="N24" s="187"/>
      <c r="O24" s="174"/>
      <c r="P24" s="164"/>
      <c r="Q24" s="187"/>
      <c r="R24" s="174"/>
      <c r="S24" s="164"/>
      <c r="T24" s="175"/>
      <c r="U24" s="174"/>
      <c r="V24" s="164"/>
      <c r="W24" s="175"/>
    </row>
    <row r="25" spans="1:23" x14ac:dyDescent="0.25">
      <c r="A25" s="143" t="s">
        <v>104</v>
      </c>
      <c r="B25" s="143" t="s">
        <v>105</v>
      </c>
      <c r="C25" s="144" t="s">
        <v>89</v>
      </c>
      <c r="D25" s="145" t="s">
        <v>85</v>
      </c>
      <c r="E25" s="146" t="s">
        <v>106</v>
      </c>
      <c r="F25" s="147">
        <v>100246</v>
      </c>
      <c r="G25" s="142">
        <v>0.45</v>
      </c>
      <c r="H25" s="204">
        <v>0.55000000000000004</v>
      </c>
      <c r="I25" s="169">
        <v>1980</v>
      </c>
      <c r="J25" s="163">
        <f>I25*6</f>
        <v>11880</v>
      </c>
      <c r="K25" s="208">
        <f t="shared" ref="K25" si="10">J25/F25</f>
        <v>0.118508469165852</v>
      </c>
      <c r="L25" s="169">
        <v>2371</v>
      </c>
      <c r="M25" s="163">
        <f>L25*6</f>
        <v>14226</v>
      </c>
      <c r="N25" s="186">
        <f t="shared" ref="N25" si="11">M25/F25</f>
        <v>0.14191089918799751</v>
      </c>
      <c r="O25" s="169">
        <v>2591</v>
      </c>
      <c r="P25" s="163">
        <f>O25*6</f>
        <v>15546</v>
      </c>
      <c r="Q25" s="186">
        <f t="shared" ref="Q25" si="12">P25/F25</f>
        <v>0.15507850687309219</v>
      </c>
      <c r="R25" s="169">
        <v>2882</v>
      </c>
      <c r="S25" s="163">
        <f>R25*6</f>
        <v>17292</v>
      </c>
      <c r="T25" s="172">
        <f t="shared" ref="T25" si="13">S25/F25</f>
        <v>0.17249566067474015</v>
      </c>
      <c r="U25" s="169">
        <v>2882</v>
      </c>
      <c r="V25" s="163">
        <f>U25*6</f>
        <v>17292</v>
      </c>
      <c r="W25" s="172">
        <f t="shared" ref="W25" si="14">V25/F25</f>
        <v>0.17249566067474015</v>
      </c>
    </row>
    <row r="26" spans="1:23" ht="15.75" thickBot="1" x14ac:dyDescent="0.3">
      <c r="A26" s="143"/>
      <c r="B26" s="143"/>
      <c r="C26" s="144"/>
      <c r="D26" s="145"/>
      <c r="E26" s="146"/>
      <c r="F26" s="147"/>
      <c r="G26" s="142"/>
      <c r="H26" s="204"/>
      <c r="I26" s="170"/>
      <c r="J26" s="171"/>
      <c r="K26" s="209"/>
      <c r="L26" s="170"/>
      <c r="M26" s="171"/>
      <c r="N26" s="192"/>
      <c r="O26" s="170"/>
      <c r="P26" s="171"/>
      <c r="Q26" s="192"/>
      <c r="R26" s="170"/>
      <c r="S26" s="171"/>
      <c r="T26" s="173"/>
      <c r="U26" s="170"/>
      <c r="V26" s="171"/>
      <c r="W26" s="173"/>
    </row>
    <row r="27" spans="1:23" ht="15.75" thickBot="1" x14ac:dyDescent="0.3">
      <c r="J27" s="81"/>
    </row>
    <row r="28" spans="1:23" ht="15" customHeight="1" x14ac:dyDescent="0.25">
      <c r="A28" s="122" t="s">
        <v>107</v>
      </c>
      <c r="B28" s="205" t="s">
        <v>108</v>
      </c>
      <c r="C28" s="205"/>
      <c r="D28" s="205"/>
      <c r="E28" s="205"/>
      <c r="F28" s="205"/>
      <c r="G28" s="205"/>
      <c r="H28" s="206"/>
      <c r="I28" s="176">
        <v>42886</v>
      </c>
      <c r="J28" s="177"/>
      <c r="K28" s="178"/>
      <c r="L28" s="176">
        <v>42916</v>
      </c>
      <c r="M28" s="177"/>
      <c r="N28" s="178"/>
      <c r="O28" s="176">
        <v>42946</v>
      </c>
      <c r="P28" s="177"/>
      <c r="Q28" s="178"/>
      <c r="R28" s="176">
        <v>42978</v>
      </c>
      <c r="S28" s="177"/>
      <c r="T28" s="178"/>
      <c r="U28" s="176">
        <v>43008</v>
      </c>
      <c r="V28" s="177"/>
      <c r="W28" s="178"/>
    </row>
    <row r="29" spans="1:23" x14ac:dyDescent="0.25">
      <c r="A29" s="122" t="s">
        <v>71</v>
      </c>
      <c r="B29" s="78" t="s">
        <v>109</v>
      </c>
      <c r="C29" s="78"/>
      <c r="D29" s="152"/>
      <c r="E29" s="152"/>
      <c r="F29" s="152"/>
      <c r="G29" s="152"/>
      <c r="H29" s="153"/>
      <c r="I29" s="179" t="s">
        <v>81</v>
      </c>
      <c r="J29" s="154"/>
      <c r="K29" s="180"/>
      <c r="L29" s="179" t="s">
        <v>81</v>
      </c>
      <c r="M29" s="154"/>
      <c r="N29" s="180"/>
      <c r="O29" s="179" t="s">
        <v>81</v>
      </c>
      <c r="P29" s="154"/>
      <c r="Q29" s="180"/>
      <c r="R29" s="179" t="s">
        <v>81</v>
      </c>
      <c r="S29" s="154"/>
      <c r="T29" s="180"/>
      <c r="U29" s="179" t="s">
        <v>81</v>
      </c>
      <c r="V29" s="154"/>
      <c r="W29" s="180"/>
    </row>
    <row r="30" spans="1:23" ht="15" customHeight="1" x14ac:dyDescent="0.25">
      <c r="A30" s="136" t="s">
        <v>73</v>
      </c>
      <c r="B30" s="137" t="s">
        <v>74</v>
      </c>
      <c r="C30" s="136" t="s">
        <v>75</v>
      </c>
      <c r="D30" s="136" t="s">
        <v>76</v>
      </c>
      <c r="E30" s="123" t="s">
        <v>77</v>
      </c>
      <c r="F30" s="137" t="s">
        <v>39</v>
      </c>
      <c r="G30" s="137" t="s">
        <v>79</v>
      </c>
      <c r="H30" s="210" t="s">
        <v>80</v>
      </c>
      <c r="I30" s="181" t="s">
        <v>116</v>
      </c>
      <c r="J30" s="151" t="s">
        <v>117</v>
      </c>
      <c r="K30" s="193" t="s">
        <v>134</v>
      </c>
      <c r="L30" s="181" t="s">
        <v>116</v>
      </c>
      <c r="M30" s="151" t="s">
        <v>117</v>
      </c>
      <c r="N30" s="193" t="s">
        <v>134</v>
      </c>
      <c r="O30" s="181" t="s">
        <v>116</v>
      </c>
      <c r="P30" s="151" t="s">
        <v>117</v>
      </c>
      <c r="Q30" s="193" t="s">
        <v>134</v>
      </c>
      <c r="R30" s="181" t="s">
        <v>116</v>
      </c>
      <c r="S30" s="151" t="s">
        <v>117</v>
      </c>
      <c r="T30" s="182" t="s">
        <v>134</v>
      </c>
      <c r="U30" s="181" t="s">
        <v>116</v>
      </c>
      <c r="V30" s="151" t="s">
        <v>117</v>
      </c>
      <c r="W30" s="182" t="s">
        <v>134</v>
      </c>
    </row>
    <row r="31" spans="1:23" x14ac:dyDescent="0.25">
      <c r="A31" s="136"/>
      <c r="B31" s="137"/>
      <c r="C31" s="136"/>
      <c r="D31" s="136"/>
      <c r="E31" s="123" t="s">
        <v>78</v>
      </c>
      <c r="F31" s="137"/>
      <c r="G31" s="137"/>
      <c r="H31" s="210"/>
      <c r="I31" s="181"/>
      <c r="J31" s="151"/>
      <c r="K31" s="194"/>
      <c r="L31" s="181"/>
      <c r="M31" s="151"/>
      <c r="N31" s="194"/>
      <c r="O31" s="181"/>
      <c r="P31" s="151"/>
      <c r="Q31" s="194"/>
      <c r="R31" s="181"/>
      <c r="S31" s="151"/>
      <c r="T31" s="183"/>
      <c r="U31" s="181"/>
      <c r="V31" s="151"/>
      <c r="W31" s="183"/>
    </row>
    <row r="32" spans="1:23" x14ac:dyDescent="0.25">
      <c r="A32" s="149" t="s">
        <v>110</v>
      </c>
      <c r="B32" s="143" t="s">
        <v>111</v>
      </c>
      <c r="C32" s="144" t="s">
        <v>89</v>
      </c>
      <c r="D32" s="145" t="s">
        <v>112</v>
      </c>
      <c r="E32" s="146" t="s">
        <v>113</v>
      </c>
      <c r="F32" s="147">
        <v>41534</v>
      </c>
      <c r="G32" s="142">
        <v>0.45</v>
      </c>
      <c r="H32" s="204">
        <v>0.55000000000000004</v>
      </c>
      <c r="I32" s="169">
        <v>909</v>
      </c>
      <c r="J32" s="163">
        <f>I32*6</f>
        <v>5454</v>
      </c>
      <c r="K32" s="186">
        <f t="shared" ref="K32" si="15">J32/F32</f>
        <v>0.13131410410747821</v>
      </c>
      <c r="L32" s="169">
        <v>1509</v>
      </c>
      <c r="M32" s="163">
        <f>L32*6</f>
        <v>9054</v>
      </c>
      <c r="N32" s="186">
        <f>M32/F32</f>
        <v>0.21799008041604467</v>
      </c>
      <c r="O32" s="169">
        <v>1509</v>
      </c>
      <c r="P32" s="163">
        <f>O32*6</f>
        <v>9054</v>
      </c>
      <c r="Q32" s="186">
        <f>P32/F32</f>
        <v>0.21799008041604467</v>
      </c>
      <c r="R32" s="169">
        <v>1509</v>
      </c>
      <c r="S32" s="163">
        <f>R32*6</f>
        <v>9054</v>
      </c>
      <c r="T32" s="172">
        <f>S32/F32</f>
        <v>0.21799008041604467</v>
      </c>
      <c r="U32" s="169">
        <v>1509</v>
      </c>
      <c r="V32" s="163">
        <f>U32*6</f>
        <v>9054</v>
      </c>
      <c r="W32" s="172">
        <f t="shared" ref="W32" si="16">V32/F32</f>
        <v>0.21799008041604467</v>
      </c>
    </row>
    <row r="33" spans="1:23" ht="15.75" thickBot="1" x14ac:dyDescent="0.3">
      <c r="A33" s="150"/>
      <c r="B33" s="143"/>
      <c r="C33" s="144"/>
      <c r="D33" s="145"/>
      <c r="E33" s="146"/>
      <c r="F33" s="147"/>
      <c r="G33" s="142"/>
      <c r="H33" s="204"/>
      <c r="I33" s="170"/>
      <c r="J33" s="171"/>
      <c r="K33" s="192"/>
      <c r="L33" s="170"/>
      <c r="M33" s="171"/>
      <c r="N33" s="192"/>
      <c r="O33" s="170"/>
      <c r="P33" s="171"/>
      <c r="Q33" s="192"/>
      <c r="R33" s="170"/>
      <c r="S33" s="171"/>
      <c r="T33" s="173"/>
      <c r="U33" s="170"/>
      <c r="V33" s="171"/>
      <c r="W33" s="173"/>
    </row>
  </sheetData>
  <mergeCells count="262">
    <mergeCell ref="I7:K7"/>
    <mergeCell ref="A8:A9"/>
    <mergeCell ref="B8:B9"/>
    <mergeCell ref="C8:C9"/>
    <mergeCell ref="D8:D9"/>
    <mergeCell ref="F8:F9"/>
    <mergeCell ref="G8:G9"/>
    <mergeCell ref="H8:H9"/>
    <mergeCell ref="I8:I9"/>
    <mergeCell ref="A12:A13"/>
    <mergeCell ref="B12:B13"/>
    <mergeCell ref="C12:C13"/>
    <mergeCell ref="D12:D13"/>
    <mergeCell ref="E12:E13"/>
    <mergeCell ref="F12:F13"/>
    <mergeCell ref="G12:G13"/>
    <mergeCell ref="J8:J9"/>
    <mergeCell ref="K8:K9"/>
    <mergeCell ref="A10:A11"/>
    <mergeCell ref="B10:B11"/>
    <mergeCell ref="C10:C11"/>
    <mergeCell ref="D10:D11"/>
    <mergeCell ref="E10:E11"/>
    <mergeCell ref="F10:F11"/>
    <mergeCell ref="G10:G11"/>
    <mergeCell ref="H10:H11"/>
    <mergeCell ref="H12:H13"/>
    <mergeCell ref="I12:I13"/>
    <mergeCell ref="J12:J13"/>
    <mergeCell ref="K12:K13"/>
    <mergeCell ref="D16:H16"/>
    <mergeCell ref="I16:K16"/>
    <mergeCell ref="I10:I11"/>
    <mergeCell ref="J10:J11"/>
    <mergeCell ref="K10:K11"/>
    <mergeCell ref="A21:A22"/>
    <mergeCell ref="B21:B22"/>
    <mergeCell ref="C21:C22"/>
    <mergeCell ref="D21:D22"/>
    <mergeCell ref="E21:E22"/>
    <mergeCell ref="H17:H18"/>
    <mergeCell ref="I17:I18"/>
    <mergeCell ref="J17:J18"/>
    <mergeCell ref="K17:K18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F17:F18"/>
    <mergeCell ref="G17:G18"/>
    <mergeCell ref="F21:F22"/>
    <mergeCell ref="G21:G22"/>
    <mergeCell ref="H21:H22"/>
    <mergeCell ref="I21:I22"/>
    <mergeCell ref="J21:J22"/>
    <mergeCell ref="K21:K22"/>
    <mergeCell ref="G19:G20"/>
    <mergeCell ref="H19:H20"/>
    <mergeCell ref="I19:I20"/>
    <mergeCell ref="J19:J20"/>
    <mergeCell ref="K19:K20"/>
    <mergeCell ref="I23:I24"/>
    <mergeCell ref="J23:J24"/>
    <mergeCell ref="K23:K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A32:A33"/>
    <mergeCell ref="B32:B33"/>
    <mergeCell ref="C32:C33"/>
    <mergeCell ref="D32:D33"/>
    <mergeCell ref="E32:E33"/>
    <mergeCell ref="F32:F33"/>
    <mergeCell ref="G32:G33"/>
    <mergeCell ref="D29:H29"/>
    <mergeCell ref="I29:K29"/>
    <mergeCell ref="A30:A31"/>
    <mergeCell ref="B30:B31"/>
    <mergeCell ref="C30:C31"/>
    <mergeCell ref="D30:D31"/>
    <mergeCell ref="F30:F31"/>
    <mergeCell ref="G30:G31"/>
    <mergeCell ref="H30:H31"/>
    <mergeCell ref="L8:L9"/>
    <mergeCell ref="M8:M9"/>
    <mergeCell ref="N8:N9"/>
    <mergeCell ref="H32:H33"/>
    <mergeCell ref="I32:I33"/>
    <mergeCell ref="J32:J33"/>
    <mergeCell ref="K32:K33"/>
    <mergeCell ref="B6:H6"/>
    <mergeCell ref="B15:H15"/>
    <mergeCell ref="B28:H28"/>
    <mergeCell ref="I6:K6"/>
    <mergeCell ref="I15:K15"/>
    <mergeCell ref="I28:K28"/>
    <mergeCell ref="I30:I31"/>
    <mergeCell ref="J30:J31"/>
    <mergeCell ref="K30:K31"/>
    <mergeCell ref="F25:F26"/>
    <mergeCell ref="G25:G26"/>
    <mergeCell ref="H25:H26"/>
    <mergeCell ref="I25:I26"/>
    <mergeCell ref="J25:J26"/>
    <mergeCell ref="K25:K26"/>
    <mergeCell ref="G23:G24"/>
    <mergeCell ref="H23:H24"/>
    <mergeCell ref="L19:L20"/>
    <mergeCell ref="M19:M20"/>
    <mergeCell ref="N19:N20"/>
    <mergeCell ref="L10:L11"/>
    <mergeCell ref="M10:M11"/>
    <mergeCell ref="N10:N11"/>
    <mergeCell ref="L12:L13"/>
    <mergeCell ref="M12:M13"/>
    <mergeCell ref="N12:N13"/>
    <mergeCell ref="L6:N6"/>
    <mergeCell ref="L7:N7"/>
    <mergeCell ref="L15:N15"/>
    <mergeCell ref="L16:N16"/>
    <mergeCell ref="L28:N28"/>
    <mergeCell ref="L29:N29"/>
    <mergeCell ref="L32:L33"/>
    <mergeCell ref="M32:M33"/>
    <mergeCell ref="N32:N33"/>
    <mergeCell ref="L30:L31"/>
    <mergeCell ref="M30:M31"/>
    <mergeCell ref="N30:N31"/>
    <mergeCell ref="M23:M24"/>
    <mergeCell ref="N23:N24"/>
    <mergeCell ref="L25:L26"/>
    <mergeCell ref="M25:M26"/>
    <mergeCell ref="N25:N26"/>
    <mergeCell ref="L17:L18"/>
    <mergeCell ref="M17:M18"/>
    <mergeCell ref="N17:N18"/>
    <mergeCell ref="L21:L22"/>
    <mergeCell ref="M21:M22"/>
    <mergeCell ref="N21:N22"/>
    <mergeCell ref="L23:L24"/>
    <mergeCell ref="O6:Q6"/>
    <mergeCell ref="O7:Q7"/>
    <mergeCell ref="O17:O18"/>
    <mergeCell ref="P17:P18"/>
    <mergeCell ref="Q17:Q18"/>
    <mergeCell ref="O15:Q15"/>
    <mergeCell ref="O16:Q16"/>
    <mergeCell ref="O8:O9"/>
    <mergeCell ref="P8:P9"/>
    <mergeCell ref="Q8:Q9"/>
    <mergeCell ref="O10:O11"/>
    <mergeCell ref="P10:P11"/>
    <mergeCell ref="Q10:Q11"/>
    <mergeCell ref="O30:O31"/>
    <mergeCell ref="P30:P31"/>
    <mergeCell ref="Q30:Q31"/>
    <mergeCell ref="O32:O33"/>
    <mergeCell ref="P32:P33"/>
    <mergeCell ref="Q32:Q33"/>
    <mergeCell ref="O23:O24"/>
    <mergeCell ref="P23:P24"/>
    <mergeCell ref="Q23:Q24"/>
    <mergeCell ref="O25:O26"/>
    <mergeCell ref="P25:P26"/>
    <mergeCell ref="Q25:Q26"/>
    <mergeCell ref="T17:T18"/>
    <mergeCell ref="R19:R20"/>
    <mergeCell ref="S19:S20"/>
    <mergeCell ref="T19:T20"/>
    <mergeCell ref="O28:Q28"/>
    <mergeCell ref="O29:Q29"/>
    <mergeCell ref="R8:R9"/>
    <mergeCell ref="S8:S9"/>
    <mergeCell ref="T8:T9"/>
    <mergeCell ref="R10:R11"/>
    <mergeCell ref="S10:S11"/>
    <mergeCell ref="T10:T11"/>
    <mergeCell ref="R12:R13"/>
    <mergeCell ref="S12:S13"/>
    <mergeCell ref="O19:O20"/>
    <mergeCell ref="P19:P20"/>
    <mergeCell ref="Q19:Q20"/>
    <mergeCell ref="O21:O22"/>
    <mergeCell ref="P21:P22"/>
    <mergeCell ref="Q21:Q22"/>
    <mergeCell ref="O12:O13"/>
    <mergeCell ref="P12:P13"/>
    <mergeCell ref="Q12:Q13"/>
    <mergeCell ref="R32:R33"/>
    <mergeCell ref="S32:S33"/>
    <mergeCell ref="T32:T33"/>
    <mergeCell ref="R6:T6"/>
    <mergeCell ref="R7:T7"/>
    <mergeCell ref="R15:T15"/>
    <mergeCell ref="R16:T16"/>
    <mergeCell ref="R28:T28"/>
    <mergeCell ref="R29:T29"/>
    <mergeCell ref="R25:R26"/>
    <mergeCell ref="S25:S26"/>
    <mergeCell ref="T25:T26"/>
    <mergeCell ref="R30:R31"/>
    <mergeCell ref="S30:S31"/>
    <mergeCell ref="T30:T31"/>
    <mergeCell ref="R21:R22"/>
    <mergeCell ref="S21:S22"/>
    <mergeCell ref="T21:T22"/>
    <mergeCell ref="R23:R24"/>
    <mergeCell ref="S23:S24"/>
    <mergeCell ref="T23:T24"/>
    <mergeCell ref="T12:T13"/>
    <mergeCell ref="R17:R18"/>
    <mergeCell ref="S17:S18"/>
    <mergeCell ref="U6:W6"/>
    <mergeCell ref="U7:W7"/>
    <mergeCell ref="U8:U9"/>
    <mergeCell ref="V8:V9"/>
    <mergeCell ref="W8:W9"/>
    <mergeCell ref="U10:U11"/>
    <mergeCell ref="V10:V11"/>
    <mergeCell ref="W10:W11"/>
    <mergeCell ref="U12:U13"/>
    <mergeCell ref="V12:V13"/>
    <mergeCell ref="W12:W13"/>
    <mergeCell ref="U15:W15"/>
    <mergeCell ref="U16:W16"/>
    <mergeCell ref="U17:U18"/>
    <mergeCell ref="V17:V18"/>
    <mergeCell ref="W17:W18"/>
    <mergeCell ref="U19:U20"/>
    <mergeCell ref="V19:V20"/>
    <mergeCell ref="W19:W20"/>
    <mergeCell ref="U21:U22"/>
    <mergeCell ref="V21:V22"/>
    <mergeCell ref="W21:W22"/>
    <mergeCell ref="U32:U33"/>
    <mergeCell ref="V32:V33"/>
    <mergeCell ref="W32:W33"/>
    <mergeCell ref="U23:U24"/>
    <mergeCell ref="V23:V24"/>
    <mergeCell ref="W23:W24"/>
    <mergeCell ref="U25:U26"/>
    <mergeCell ref="V25:V26"/>
    <mergeCell ref="W25:W26"/>
    <mergeCell ref="U28:W28"/>
    <mergeCell ref="U29:W29"/>
    <mergeCell ref="U30:U31"/>
    <mergeCell ref="V30:V31"/>
    <mergeCell ref="W30:W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42736</v>
      </c>
      <c r="B1" s="93"/>
      <c r="C1" s="93"/>
      <c r="D1" s="93"/>
      <c r="E1" s="134" t="s">
        <v>128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Table142356948[[#This Row],[Emergency NFI]]+Table142356948[[#This Row],[NFI Replenishment ]]+Table142356948[[#This Row],[NFI3]]</f>
        <v>18858</v>
      </c>
      <c r="F3" s="91">
        <f>Table142356948[[#This Row],[Emergency Shelter]]+Table142356948[[#This Row],[Shelter Upgrade/Repair]]+Table142356948[[#This Row],[Shelter and housing options]]</f>
        <v>1902</v>
      </c>
      <c r="G3" s="91">
        <v>18858</v>
      </c>
      <c r="H3" s="91">
        <v>642</v>
      </c>
      <c r="I3" s="91">
        <v>0</v>
      </c>
      <c r="J3" s="91">
        <v>1260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Table142356948[[#This Row],[Emergency NFI]]+Table142356948[[#This Row],[NFI Replenishment ]]+Table142356948[[#This Row],[NFI3]]</f>
        <v>0</v>
      </c>
      <c r="F4" s="5">
        <f>Table142356948[[#This Row],[Emergency Shelter]]+Table142356948[[#This Row],[Shelter Upgrade/Repair]]+Table142356948[[#This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Table142356948[[#This Row],[Emergency NFI]]+Table142356948[[#This Row],[NFI Replenishment ]]+Table142356948[[#This Row],[NFI3]]</f>
        <v>2100</v>
      </c>
      <c r="F5" s="5">
        <f>Table142356948[[#This Row],[Emergency Shelter]]+Table142356948[[#This Row],[Shelter Upgrade/Repair]]+Table142356948[[#This Row],[Shelter and housing options]]</f>
        <v>0</v>
      </c>
      <c r="G5" s="5">
        <v>2100</v>
      </c>
      <c r="H5" s="5">
        <v>0</v>
      </c>
      <c r="I5" s="5">
        <v>0</v>
      </c>
      <c r="J5" s="5">
        <v>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Table142356948[[#This Row],[Emergency NFI]]+Table142356948[[#This Row],[NFI Replenishment ]]+Table142356948[[#This Row],[NFI3]]</f>
        <v>0</v>
      </c>
      <c r="F6" s="5">
        <f>Table142356948[[#This Row],[Emergency Shelter]]+Table142356948[[#This Row],[Shelter Upgrade/Repair]]+Table142356948[[#This Row],[Shelter and housing options]]</f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Table142356948[[#This Row],[Emergency NFI]]+Table142356948[[#This Row],[NFI Replenishment ]]+Table142356948[[#This Row],[NFI3]]</f>
        <v>24</v>
      </c>
      <c r="F7" s="5">
        <f>Table142356948[[#This Row],[Emergency Shelter]]+Table142356948[[#This Row],[Shelter Upgrade/Repair]]+Table142356948[[#This Row],[Shelter and housing options]]</f>
        <v>7500</v>
      </c>
      <c r="G7" s="5">
        <v>24</v>
      </c>
      <c r="H7" s="5">
        <v>0</v>
      </c>
      <c r="I7" s="5">
        <v>0</v>
      </c>
      <c r="J7" s="5">
        <v>7500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Table142356948[[#This Row],[Emergency NFI]]+Table142356948[[#This Row],[NFI Replenishment ]]+Table142356948[[#This Row],[NFI3]]</f>
        <v>5064</v>
      </c>
      <c r="F8" s="5">
        <f>Table142356948[[#This Row],[Emergency Shelter]]+Table142356948[[#This Row],[Shelter Upgrade/Repair]]+Table142356948[[#This Row],[Shelter and housing options]]</f>
        <v>0</v>
      </c>
      <c r="G8" s="5">
        <v>5064</v>
      </c>
      <c r="H8" s="5">
        <v>0</v>
      </c>
      <c r="I8" s="5">
        <v>0</v>
      </c>
      <c r="J8" s="5">
        <v>0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Table142356948[[#This Row],[Emergency NFI]]+Table142356948[[#This Row],[NFI Replenishment ]]+Table142356948[[#This Row],[NFI3]]</f>
        <v>3540</v>
      </c>
      <c r="F9" s="5">
        <f>Table142356948[[#This Row],[Emergency Shelter]]+Table142356948[[#This Row],[Shelter Upgrade/Repair]]+Table142356948[[#This Row],[Shelter and housing options]]</f>
        <v>0</v>
      </c>
      <c r="G9" s="5">
        <v>3540</v>
      </c>
      <c r="H9" s="5">
        <v>0</v>
      </c>
      <c r="I9" s="5">
        <v>0</v>
      </c>
      <c r="J9" s="5">
        <v>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Table142356948[[#This Row],[Emergency NFI]]+Table142356948[[#This Row],[NFI Replenishment ]]+Table142356948[[#This Row],[NFI3]]</f>
        <v>0</v>
      </c>
      <c r="F10" s="5">
        <f>Table142356948[[#This Row],[Emergency Shelter]]+Table142356948[[#This Row],[Shelter Upgrade/Repair]]+Table142356948[[#This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Table142356948[[#This Row],[Emergency NFI]]+Table142356948[[#This Row],[NFI Replenishment ]]+Table142356948[[#This Row],[NFI3]]</f>
        <v>8622</v>
      </c>
      <c r="F11" s="5">
        <f>Table142356948[[#This Row],[Emergency Shelter]]+Table142356948[[#This Row],[Shelter Upgrade/Repair]]+Table142356948[[#This Row],[Shelter and housing options]]</f>
        <v>0</v>
      </c>
      <c r="G11" s="5">
        <v>8622</v>
      </c>
      <c r="H11" s="5">
        <v>0</v>
      </c>
      <c r="I11" s="5">
        <v>0</v>
      </c>
      <c r="J11" s="5">
        <v>0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Table142356948[[#This Row],[Emergency NFI]]+Table142356948[[#This Row],[NFI Replenishment ]]+Table142356948[[#This Row],[NFI3]]</f>
        <v>0</v>
      </c>
      <c r="F12" s="5">
        <f>Table142356948[[#This Row],[Emergency Shelter]]+Table142356948[[#This Row],[Shelter Upgrade/Repair]]+Table142356948[[#This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Table142356948[[#This Row],[Emergency NFI]]+Table142356948[[#This Row],[NFI Replenishment ]]+Table142356948[[#This Row],[NFI3]]</f>
        <v>0</v>
      </c>
      <c r="F13" s="5">
        <f>Table142356948[[#This Row],[Emergency Shelter]]+Table142356948[[#This Row],[Shelter Upgrade/Repair]]+Table142356948[[#This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Table142356948[[#This Row],[Emergency NFI]]+Table142356948[[#This Row],[NFI Replenishment ]]+Table142356948[[#This Row],[NFI3]]</f>
        <v>0</v>
      </c>
      <c r="F14" s="5">
        <f>Table142356948[[#This Row],[Emergency Shelter]]+Table142356948[[#This Row],[Shelter Upgrade/Repair]]+Table142356948[[#This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Table142356948[[#This Row],[Emergency NFI]]+Table142356948[[#This Row],[NFI Replenishment ]]+Table142356948[[#This Row],[NFI3]]</f>
        <v>214278</v>
      </c>
      <c r="F15" s="5">
        <f>Table142356948[[#This Row],[Emergency Shelter]]+Table142356948[[#This Row],[Shelter Upgrade/Repair]]+Table142356948[[#This Row],[Shelter and housing options]]</f>
        <v>2586</v>
      </c>
      <c r="G15" s="5">
        <v>214278</v>
      </c>
      <c r="H15" s="5">
        <v>2520</v>
      </c>
      <c r="I15" s="5">
        <v>0</v>
      </c>
      <c r="J15" s="5">
        <v>66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Table142356948[[#This Row],[Emergency NFI]]+Table142356948[[#This Row],[NFI Replenishment ]]+Table142356948[[#This Row],[NFI3]]</f>
        <v>0</v>
      </c>
      <c r="F16" s="5">
        <f>Table142356948[[#This Row],[Emergency Shelter]]+Table142356948[[#This Row],[Shelter Upgrade/Repair]]+Table142356948[[#This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Table142356948[[#This Row],[Emergency NFI]]+Table142356948[[#This Row],[NFI Replenishment ]]+Table142356948[[#This Row],[NFI3]]</f>
        <v>23676</v>
      </c>
      <c r="F17" s="5">
        <f>Table142356948[[#This Row],[Emergency Shelter]]+Table142356948[[#This Row],[Shelter Upgrade/Repair]]+Table142356948[[#This Row],[Shelter and housing options]]</f>
        <v>21300</v>
      </c>
      <c r="G17" s="5">
        <v>23676</v>
      </c>
      <c r="H17" s="5">
        <v>21240</v>
      </c>
      <c r="I17" s="5">
        <v>0</v>
      </c>
      <c r="J17" s="5">
        <v>60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Table142356948[[#This Row],[Emergency NFI]]+Table142356948[[#This Row],[NFI Replenishment ]]+Table142356948[[#This Row],[NFI3]]</f>
        <v>0</v>
      </c>
      <c r="F18" s="5">
        <f>Table142356948[[#This Row],[Emergency Shelter]]+Table142356948[[#This Row],[Shelter Upgrade/Repair]]+Table142356948[[#This Row],[Shelter and housing options]]</f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Table142356948[[#This Row],[Emergency NFI]]+Table142356948[[#This Row],[NFI Replenishment ]]+Table142356948[[#This Row],[NFI3]]</f>
        <v>0</v>
      </c>
      <c r="F19" s="5">
        <f>Table142356948[[#This Row],[Emergency Shelter]]+Table142356948[[#This Row],[Shelter Upgrade/Repair]]+Table142356948[[#This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Table142356948[[#This Row],[Emergency NFI]]+Table142356948[[#This Row],[NFI Replenishment ]]+Table142356948[[#This Row],[NFI3]]</f>
        <v>0</v>
      </c>
      <c r="F20" s="5">
        <f>Table142356948[[#This Row],[Emergency Shelter]]+Table142356948[[#This Row],[Shelter Upgrade/Repair]]+Table142356948[[#This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276162</v>
      </c>
      <c r="F21" s="9">
        <f>Table142356948[[#This Row],[Emergency Shelter]]+Table142356948[[#This Row],[Shelter Upgrade/Repair]]+Table142356948[[#This Row],[Shelter and housing options]]</f>
        <v>33288</v>
      </c>
      <c r="G21" s="9">
        <f>SUBTOTAL(109,G3:G20)</f>
        <v>276162</v>
      </c>
      <c r="H21" s="9">
        <f>SUBTOTAL(109,H3:H20)</f>
        <v>24402</v>
      </c>
      <c r="I21" s="9">
        <f t="shared" ref="I21:K21" si="0">SUBTOTAL(109,I3:I20)</f>
        <v>0</v>
      </c>
      <c r="J21" s="9">
        <f t="shared" ref="J21" si="1">SUBTOTAL(109,J3:J20)</f>
        <v>8886</v>
      </c>
      <c r="K21" s="9">
        <f t="shared" si="0"/>
        <v>0</v>
      </c>
      <c r="L21" s="9">
        <f t="shared" ref="L21" si="2">SUBTOTAL(109,L3:L20)</f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46027</v>
      </c>
      <c r="F22" s="11">
        <f>Table142356948[[#This Row],[Emergency Shelter]]+Table142356948[[#This Row],[Shelter Upgrade/Repair]]+Table142356948[[#This Row],[Shelter and housing options]]</f>
        <v>5548</v>
      </c>
      <c r="G22" s="11">
        <f t="shared" si="3"/>
        <v>46027</v>
      </c>
      <c r="H22" s="11">
        <f t="shared" ref="H22" si="4">H21/6</f>
        <v>4067</v>
      </c>
      <c r="I22" s="11">
        <f t="shared" si="3"/>
        <v>0</v>
      </c>
      <c r="J22" s="11">
        <f t="shared" ref="J22" si="5">J21/6</f>
        <v>1481</v>
      </c>
      <c r="K22" s="11">
        <f t="shared" si="3"/>
        <v>0</v>
      </c>
      <c r="L22" s="11">
        <f t="shared" ref="L22" si="6">L21/6</f>
        <v>0</v>
      </c>
    </row>
    <row r="23" spans="1:12" x14ac:dyDescent="0.25">
      <c r="A23" s="99"/>
      <c r="B23" s="100"/>
      <c r="C23" s="101"/>
      <c r="D23" s="101"/>
      <c r="E23" s="96">
        <f>E21/D21</f>
        <v>0.11871088546348109</v>
      </c>
      <c r="F23" s="96">
        <f>F21/D21</f>
        <v>1.4309166197045062E-2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42767</v>
      </c>
      <c r="B1" s="93"/>
      <c r="C1" s="93"/>
      <c r="D1" s="93"/>
      <c r="E1" s="134" t="s">
        <v>129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Table14235694810[[#This Row],[Emergency NFI]]+Table14235694810[[#This Row],[NFI Replenishment ]]+Table14235694810[[#This Row],[NFI3]]</f>
        <v>1764</v>
      </c>
      <c r="F3" s="91">
        <f>Table14235694810[[#This Row],[Emergency Shelter]]+Table14235694810[[#This Row],[Shelter Upgrade/Repair]]+Table14235694810[[#This Row],[Shelter and housing options]]</f>
        <v>3240</v>
      </c>
      <c r="G3" s="91">
        <v>1764</v>
      </c>
      <c r="H3" s="91">
        <v>0</v>
      </c>
      <c r="I3" s="91">
        <v>0</v>
      </c>
      <c r="J3" s="91">
        <v>3240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Table14235694810[[#This Row],[Emergency NFI]]+Table14235694810[[#This Row],[NFI Replenishment ]]+Table14235694810[[#This Row],[NFI3]]</f>
        <v>0</v>
      </c>
      <c r="F4" s="5">
        <f>Table14235694810[[#This Row],[Emergency Shelter]]+Table14235694810[[#This Row],[Shelter Upgrade/Repair]]+Table14235694810[[#This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Table14235694810[[#This Row],[Emergency NFI]]+Table14235694810[[#This Row],[NFI Replenishment ]]+Table14235694810[[#This Row],[NFI3]]</f>
        <v>0</v>
      </c>
      <c r="F5" s="5">
        <f>Table14235694810[[#This Row],[Emergency Shelter]]+Table14235694810[[#This Row],[Shelter Upgrade/Repair]]+Table14235694810[[#This Row],[Shelter and housing options]]</f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Table14235694810[[#This Row],[Emergency NFI]]+Table14235694810[[#This Row],[NFI Replenishment ]]+Table14235694810[[#This Row],[NFI3]]</f>
        <v>144</v>
      </c>
      <c r="F6" s="5">
        <f>Table14235694810[[#This Row],[Emergency Shelter]]+Table14235694810[[#This Row],[Shelter Upgrade/Repair]]+Table14235694810[[#This Row],[Shelter and housing options]]</f>
        <v>0</v>
      </c>
      <c r="G6" s="5">
        <v>144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Table14235694810[[#This Row],[Emergency NFI]]+Table14235694810[[#This Row],[NFI Replenishment ]]+Table14235694810[[#This Row],[NFI3]]</f>
        <v>0</v>
      </c>
      <c r="F7" s="5">
        <f>Table14235694810[[#This Row],[Emergency Shelter]]+Table14235694810[[#This Row],[Shelter Upgrade/Repair]]+Table14235694810[[#This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Table14235694810[[#This Row],[Emergency NFI]]+Table14235694810[[#This Row],[NFI Replenishment ]]+Table14235694810[[#This Row],[NFI3]]</f>
        <v>0</v>
      </c>
      <c r="F8" s="5">
        <f>Table14235694810[[#This Row],[Emergency Shelter]]+Table14235694810[[#This Row],[Shelter Upgrade/Repair]]+Table14235694810[[#This Row],[Shelter and housing options]]</f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Table14235694810[[#This Row],[Emergency NFI]]+Table14235694810[[#This Row],[NFI Replenishment ]]+Table14235694810[[#This Row],[NFI3]]</f>
        <v>0</v>
      </c>
      <c r="F9" s="5">
        <f>Table14235694810[[#This Row],[Emergency Shelter]]+Table14235694810[[#This Row],[Shelter Upgrade/Repair]]+Table14235694810[[#This Row],[Shelter and housing options]]</f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Table14235694810[[#This Row],[Emergency NFI]]+Table14235694810[[#This Row],[NFI Replenishment ]]+Table14235694810[[#This Row],[NFI3]]</f>
        <v>0</v>
      </c>
      <c r="F10" s="5">
        <f>Table14235694810[[#This Row],[Emergency Shelter]]+Table14235694810[[#This Row],[Shelter Upgrade/Repair]]+Table14235694810[[#This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Table14235694810[[#This Row],[Emergency NFI]]+Table14235694810[[#This Row],[NFI Replenishment ]]+Table14235694810[[#This Row],[NFI3]]</f>
        <v>5586</v>
      </c>
      <c r="F11" s="5">
        <f>Table14235694810[[#This Row],[Emergency Shelter]]+Table14235694810[[#This Row],[Shelter Upgrade/Repair]]+Table14235694810[[#This Row],[Shelter and housing options]]</f>
        <v>72870</v>
      </c>
      <c r="G11" s="5">
        <v>5586</v>
      </c>
      <c r="H11" s="5">
        <v>63708</v>
      </c>
      <c r="I11" s="5">
        <v>0</v>
      </c>
      <c r="J11" s="5">
        <v>9162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Table14235694810[[#This Row],[Emergency NFI]]+Table14235694810[[#This Row],[NFI Replenishment ]]+Table14235694810[[#This Row],[NFI3]]</f>
        <v>0</v>
      </c>
      <c r="F12" s="5">
        <f>Table14235694810[[#This Row],[Emergency Shelter]]+Table14235694810[[#This Row],[Shelter Upgrade/Repair]]+Table14235694810[[#This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Table14235694810[[#This Row],[Emergency NFI]]+Table14235694810[[#This Row],[NFI Replenishment ]]+Table14235694810[[#This Row],[NFI3]]</f>
        <v>12</v>
      </c>
      <c r="F13" s="5">
        <f>Table14235694810[[#This Row],[Emergency Shelter]]+Table14235694810[[#This Row],[Shelter Upgrade/Repair]]+Table14235694810[[#This Row],[Shelter and housing options]]</f>
        <v>0</v>
      </c>
      <c r="G13" s="5">
        <v>12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Table14235694810[[#This Row],[Emergency NFI]]+Table14235694810[[#This Row],[NFI Replenishment ]]+Table14235694810[[#This Row],[NFI3]]</f>
        <v>0</v>
      </c>
      <c r="F14" s="5">
        <f>Table14235694810[[#This Row],[Emergency Shelter]]+Table14235694810[[#This Row],[Shelter Upgrade/Repair]]+Table14235694810[[#This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Table14235694810[[#This Row],[Emergency NFI]]+Table14235694810[[#This Row],[NFI Replenishment ]]+Table14235694810[[#This Row],[NFI3]]</f>
        <v>56640</v>
      </c>
      <c r="F15" s="5">
        <f>Table14235694810[[#This Row],[Emergency Shelter]]+Table14235694810[[#This Row],[Shelter Upgrade/Repair]]+Table14235694810[[#This Row],[Shelter and housing options]]</f>
        <v>70848</v>
      </c>
      <c r="G15" s="5">
        <v>56640</v>
      </c>
      <c r="H15" s="5">
        <v>61692</v>
      </c>
      <c r="I15" s="5">
        <v>0</v>
      </c>
      <c r="J15" s="5">
        <v>9156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Table14235694810[[#This Row],[Emergency NFI]]+Table14235694810[[#This Row],[NFI Replenishment ]]+Table14235694810[[#This Row],[NFI3]]</f>
        <v>60</v>
      </c>
      <c r="F16" s="5">
        <f>Table14235694810[[#This Row],[Emergency Shelter]]+Table14235694810[[#This Row],[Shelter Upgrade/Repair]]+Table14235694810[[#This Row],[Shelter and housing options]]</f>
        <v>0</v>
      </c>
      <c r="G16" s="5">
        <v>60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Table14235694810[[#This Row],[Emergency NFI]]+Table14235694810[[#This Row],[NFI Replenishment ]]+Table14235694810[[#This Row],[NFI3]]</f>
        <v>12492</v>
      </c>
      <c r="F17" s="5">
        <f>Table14235694810[[#This Row],[Emergency Shelter]]+Table14235694810[[#This Row],[Shelter Upgrade/Repair]]+Table14235694810[[#This Row],[Shelter and housing options]]</f>
        <v>39774</v>
      </c>
      <c r="G17" s="5">
        <v>12492</v>
      </c>
      <c r="H17" s="5">
        <v>14934</v>
      </c>
      <c r="I17" s="5">
        <v>0</v>
      </c>
      <c r="J17" s="5">
        <v>24840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Table14235694810[[#This Row],[Emergency NFI]]+Table14235694810[[#This Row],[NFI Replenishment ]]+Table14235694810[[#This Row],[NFI3]]</f>
        <v>0</v>
      </c>
      <c r="F18" s="5">
        <f>Table14235694810[[#This Row],[Emergency Shelter]]+Table14235694810[[#This Row],[Shelter Upgrade/Repair]]+Table14235694810[[#This Row],[Shelter and housing options]]</f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Table14235694810[[#This Row],[Emergency NFI]]+Table14235694810[[#This Row],[NFI Replenishment ]]+Table14235694810[[#This Row],[NFI3]]</f>
        <v>0</v>
      </c>
      <c r="F19" s="5">
        <f>Table14235694810[[#This Row],[Emergency Shelter]]+Table14235694810[[#This Row],[Shelter Upgrade/Repair]]+Table14235694810[[#This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Table14235694810[[#This Row],[Emergency NFI]]+Table14235694810[[#This Row],[NFI Replenishment ]]+Table14235694810[[#This Row],[NFI3]]</f>
        <v>0</v>
      </c>
      <c r="F20" s="5">
        <f>Table14235694810[[#This Row],[Emergency Shelter]]+Table14235694810[[#This Row],[Shelter Upgrade/Repair]]+Table14235694810[[#This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76698</v>
      </c>
      <c r="F21" s="9">
        <f>Table14235694810[[#This Row],[Emergency Shelter]]+Table14235694810[[#This Row],[Shelter Upgrade/Repair]]+Table14235694810[[#This Row],[Shelter and housing options]]</f>
        <v>186732</v>
      </c>
      <c r="G21" s="9">
        <f>SUBTOTAL(109,G3:G20)</f>
        <v>76698</v>
      </c>
      <c r="H21" s="9">
        <f>SUBTOTAL(109,H3:H20)</f>
        <v>140334</v>
      </c>
      <c r="I21" s="9">
        <f t="shared" ref="I21:K21" si="0">SUBTOTAL(109,I3:I20)</f>
        <v>0</v>
      </c>
      <c r="J21" s="9">
        <f t="shared" ref="J21" si="1">SUBTOTAL(109,J3:J20)</f>
        <v>46398</v>
      </c>
      <c r="K21" s="9">
        <f t="shared" si="0"/>
        <v>0</v>
      </c>
      <c r="L21" s="9">
        <f t="shared" ref="L21" si="2">SUBTOTAL(109,L3:L20)</f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12783</v>
      </c>
      <c r="F22" s="11">
        <f>Table14235694810[[#This Row],[Emergency Shelter]]+Table14235694810[[#This Row],[Shelter Upgrade/Repair]]+Table14235694810[[#This Row],[Shelter and housing options]]</f>
        <v>31122</v>
      </c>
      <c r="G22" s="11">
        <f t="shared" si="3"/>
        <v>12783</v>
      </c>
      <c r="H22" s="11">
        <f t="shared" ref="H22" si="4">H21/6</f>
        <v>23389</v>
      </c>
      <c r="I22" s="11">
        <f t="shared" si="3"/>
        <v>0</v>
      </c>
      <c r="J22" s="11">
        <f t="shared" ref="J22" si="5">J21/6</f>
        <v>7733</v>
      </c>
      <c r="K22" s="11">
        <f t="shared" si="3"/>
        <v>0</v>
      </c>
      <c r="L22" s="11">
        <f t="shared" ref="L22" si="6">L21/6</f>
        <v>0</v>
      </c>
    </row>
    <row r="23" spans="1:12" x14ac:dyDescent="0.25">
      <c r="A23" s="99"/>
      <c r="B23" s="100"/>
      <c r="C23" s="101"/>
      <c r="D23" s="101"/>
      <c r="E23" s="96">
        <f>E21/D21</f>
        <v>3.2969371214280285E-2</v>
      </c>
      <c r="F23" s="96">
        <f>F21/D21</f>
        <v>8.0268541886163738E-2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42795</v>
      </c>
      <c r="B1" s="93"/>
      <c r="C1" s="93"/>
      <c r="D1" s="93"/>
      <c r="E1" s="134" t="s">
        <v>130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Table1423569481011[[#This Row],[Emergency NFI]]+Table1423569481011[[#This Row],[NFI Replenishment ]]+Table1423569481011[[#This Row],[NFI3]]</f>
        <v>8868</v>
      </c>
      <c r="F3" s="91">
        <f>Table1423569481011[[#This Row],[Emergency Shelter]]+Table1423569481011[[#This Row],[Shelter Upgrade/Repair]]+Table1423569481011[[#This Row],[Shelter and housing options]]</f>
        <v>0</v>
      </c>
      <c r="G3" s="91">
        <v>8868</v>
      </c>
      <c r="H3" s="91">
        <v>0</v>
      </c>
      <c r="I3" s="91">
        <v>0</v>
      </c>
      <c r="J3" s="91">
        <v>0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Table1423569481011[[#This Row],[Emergency NFI]]+Table1423569481011[[#This Row],[NFI Replenishment ]]+Table1423569481011[[#This Row],[NFI3]]</f>
        <v>0</v>
      </c>
      <c r="F4" s="5">
        <f>Table1423569481011[[#This Row],[Emergency Shelter]]+Table1423569481011[[#This Row],[Shelter Upgrade/Repair]]+Table1423569481011[[#This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Table1423569481011[[#This Row],[Emergency NFI]]+Table1423569481011[[#This Row],[NFI Replenishment ]]+Table1423569481011[[#This Row],[NFI3]]</f>
        <v>2238</v>
      </c>
      <c r="F5" s="5">
        <f>Table1423569481011[[#This Row],[Emergency Shelter]]+Table1423569481011[[#This Row],[Shelter Upgrade/Repair]]+Table1423569481011[[#This Row],[Shelter and housing options]]</f>
        <v>1998</v>
      </c>
      <c r="G5" s="5">
        <v>2238</v>
      </c>
      <c r="H5" s="5">
        <v>0</v>
      </c>
      <c r="I5" s="5">
        <v>0</v>
      </c>
      <c r="J5" s="5">
        <v>1788</v>
      </c>
      <c r="K5" s="5">
        <v>0</v>
      </c>
      <c r="L5" s="89">
        <f>35*6</f>
        <v>210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Table1423569481011[[#This Row],[Emergency NFI]]+Table1423569481011[[#This Row],[NFI Replenishment ]]+Table1423569481011[[#This Row],[NFI3]]</f>
        <v>156</v>
      </c>
      <c r="F6" s="5">
        <f>Table1423569481011[[#This Row],[Emergency Shelter]]+Table1423569481011[[#This Row],[Shelter Upgrade/Repair]]+Table1423569481011[[#This Row],[Shelter and housing options]]</f>
        <v>0</v>
      </c>
      <c r="G6" s="5">
        <v>156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Table1423569481011[[#This Row],[Emergency NFI]]+Table1423569481011[[#This Row],[NFI Replenishment ]]+Table1423569481011[[#This Row],[NFI3]]</f>
        <v>0</v>
      </c>
      <c r="F7" s="5">
        <f>Table1423569481011[[#This Row],[Emergency Shelter]]+Table1423569481011[[#This Row],[Shelter Upgrade/Repair]]+Table1423569481011[[#This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Table1423569481011[[#This Row],[Emergency NFI]]+Table1423569481011[[#This Row],[NFI Replenishment ]]+Table1423569481011[[#This Row],[NFI3]]</f>
        <v>96</v>
      </c>
      <c r="F8" s="5">
        <f>Table1423569481011[[#This Row],[Emergency Shelter]]+Table1423569481011[[#This Row],[Shelter Upgrade/Repair]]+Table1423569481011[[#This Row],[Shelter and housing options]]</f>
        <v>300</v>
      </c>
      <c r="G8" s="5">
        <v>96</v>
      </c>
      <c r="H8" s="5">
        <v>0</v>
      </c>
      <c r="I8" s="5">
        <v>0</v>
      </c>
      <c r="J8" s="5">
        <v>0</v>
      </c>
      <c r="K8" s="5">
        <v>0</v>
      </c>
      <c r="L8" s="89">
        <f>50*6</f>
        <v>300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Table1423569481011[[#This Row],[Emergency NFI]]+Table1423569481011[[#This Row],[NFI Replenishment ]]+Table1423569481011[[#This Row],[NFI3]]</f>
        <v>36012</v>
      </c>
      <c r="F9" s="5">
        <f>Table1423569481011[[#This Row],[Emergency Shelter]]+Table1423569481011[[#This Row],[Shelter Upgrade/Repair]]+Table1423569481011[[#This Row],[Shelter and housing options]]</f>
        <v>0</v>
      </c>
      <c r="G9" s="5">
        <v>36012</v>
      </c>
      <c r="H9" s="5">
        <v>0</v>
      </c>
      <c r="I9" s="5">
        <v>0</v>
      </c>
      <c r="J9" s="5">
        <v>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Table1423569481011[[#This Row],[Emergency NFI]]+Table1423569481011[[#This Row],[NFI Replenishment ]]+Table1423569481011[[#This Row],[NFI3]]</f>
        <v>0</v>
      </c>
      <c r="F10" s="5">
        <f>Table1423569481011[[#This Row],[Emergency Shelter]]+Table1423569481011[[#This Row],[Shelter Upgrade/Repair]]+Table1423569481011[[#This Row],[Shelter and housing options]]</f>
        <v>204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f>34*6</f>
        <v>204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Table1423569481011[[#This Row],[Emergency NFI]]+Table1423569481011[[#This Row],[NFI Replenishment ]]+Table1423569481011[[#This Row],[NFI3]]</f>
        <v>20292</v>
      </c>
      <c r="F11" s="5">
        <f>Table1423569481011[[#This Row],[Emergency Shelter]]+Table1423569481011[[#This Row],[Shelter Upgrade/Repair]]+Table1423569481011[[#This Row],[Shelter and housing options]]</f>
        <v>25368</v>
      </c>
      <c r="G11" s="5">
        <v>20292</v>
      </c>
      <c r="H11" s="5">
        <v>150</v>
      </c>
      <c r="I11" s="5">
        <v>0</v>
      </c>
      <c r="J11" s="5">
        <v>25104</v>
      </c>
      <c r="K11" s="5">
        <v>0</v>
      </c>
      <c r="L11" s="89">
        <f>19*6</f>
        <v>114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Table1423569481011[[#This Row],[Emergency NFI]]+Table1423569481011[[#This Row],[NFI Replenishment ]]+Table1423569481011[[#This Row],[NFI3]]</f>
        <v>0</v>
      </c>
      <c r="F12" s="5">
        <f>Table1423569481011[[#This Row],[Emergency Shelter]]+Table1423569481011[[#This Row],[Shelter Upgrade/Repair]]+Table1423569481011[[#This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Table1423569481011[[#This Row],[Emergency NFI]]+Table1423569481011[[#This Row],[NFI Replenishment ]]+Table1423569481011[[#This Row],[NFI3]]</f>
        <v>0</v>
      </c>
      <c r="F13" s="5">
        <f>Table1423569481011[[#This Row],[Emergency Shelter]]+Table1423569481011[[#This Row],[Shelter Upgrade/Repair]]+Table1423569481011[[#This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Table1423569481011[[#This Row],[Emergency NFI]]+Table1423569481011[[#This Row],[NFI Replenishment ]]+Table1423569481011[[#This Row],[NFI3]]</f>
        <v>0</v>
      </c>
      <c r="F14" s="5">
        <f>Table1423569481011[[#This Row],[Emergency Shelter]]+Table1423569481011[[#This Row],[Shelter Upgrade/Repair]]+Table1423569481011[[#This Row],[Shelter and housing options]]</f>
        <v>240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f>40*6</f>
        <v>240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Table1423569481011[[#This Row],[Emergency NFI]]+Table1423569481011[[#This Row],[NFI Replenishment ]]+Table1423569481011[[#This Row],[NFI3]]</f>
        <v>200766</v>
      </c>
      <c r="F15" s="5">
        <f>Table1423569481011[[#This Row],[Emergency Shelter]]+Table1423569481011[[#This Row],[Shelter Upgrade/Repair]]+Table1423569481011[[#This Row],[Shelter and housing options]]</f>
        <v>86610</v>
      </c>
      <c r="G15" s="5">
        <v>200766</v>
      </c>
      <c r="H15" s="5">
        <v>70260</v>
      </c>
      <c r="I15" s="5">
        <v>0</v>
      </c>
      <c r="J15" s="5">
        <v>16350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Table1423569481011[[#This Row],[Emergency NFI]]+Table1423569481011[[#This Row],[NFI Replenishment ]]+Table1423569481011[[#This Row],[NFI3]]</f>
        <v>0</v>
      </c>
      <c r="F16" s="5">
        <f>Table1423569481011[[#This Row],[Emergency Shelter]]+Table1423569481011[[#This Row],[Shelter Upgrade/Repair]]+Table1423569481011[[#This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Table1423569481011[[#This Row],[Emergency NFI]]+Table1423569481011[[#This Row],[NFI Replenishment ]]+Table1423569481011[[#This Row],[NFI3]]</f>
        <v>39300</v>
      </c>
      <c r="F17" s="5">
        <f>Table1423569481011[[#This Row],[Emergency Shelter]]+Table1423569481011[[#This Row],[Shelter Upgrade/Repair]]+Table1423569481011[[#This Row],[Shelter and housing options]]</f>
        <v>1662</v>
      </c>
      <c r="G17" s="5">
        <v>39300</v>
      </c>
      <c r="H17" s="5">
        <v>600</v>
      </c>
      <c r="I17" s="5">
        <v>0</v>
      </c>
      <c r="J17" s="5">
        <v>0</v>
      </c>
      <c r="K17" s="5">
        <v>0</v>
      </c>
      <c r="L17" s="89">
        <f>177*6</f>
        <v>1062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Table1423569481011[[#This Row],[Emergency NFI]]+Table1423569481011[[#This Row],[NFI Replenishment ]]+Table1423569481011[[#This Row],[NFI3]]</f>
        <v>42</v>
      </c>
      <c r="F18" s="5">
        <f>Table1423569481011[[#This Row],[Emergency Shelter]]+Table1423569481011[[#This Row],[Shelter Upgrade/Repair]]+Table1423569481011[[#This Row],[Shelter and housing options]]</f>
        <v>36</v>
      </c>
      <c r="G18" s="5">
        <v>42</v>
      </c>
      <c r="H18" s="5">
        <v>0</v>
      </c>
      <c r="I18" s="5">
        <v>0</v>
      </c>
      <c r="J18" s="5">
        <v>36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Table1423569481011[[#This Row],[Emergency NFI]]+Table1423569481011[[#This Row],[NFI Replenishment ]]+Table1423569481011[[#This Row],[NFI3]]</f>
        <v>138</v>
      </c>
      <c r="F19" s="5">
        <f>Table1423569481011[[#This Row],[Emergency Shelter]]+Table1423569481011[[#This Row],[Shelter Upgrade/Repair]]+Table1423569481011[[#This Row],[Shelter and housing options]]</f>
        <v>0</v>
      </c>
      <c r="G19" s="5">
        <v>138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Table1423569481011[[#This Row],[Emergency NFI]]+Table1423569481011[[#This Row],[NFI Replenishment ]]+Table1423569481011[[#This Row],[NFI3]]</f>
        <v>0</v>
      </c>
      <c r="F20" s="5">
        <f>Table1423569481011[[#This Row],[Emergency Shelter]]+Table1423569481011[[#This Row],[Shelter Upgrade/Repair]]+Table1423569481011[[#This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307908</v>
      </c>
      <c r="F21" s="9">
        <f>Table1423569481011[[#This Row],[Emergency Shelter]]+Table1423569481011[[#This Row],[Shelter Upgrade/Repair]]+Table1423569481011[[#This Row],[Shelter and housing options]]</f>
        <v>116418</v>
      </c>
      <c r="G21" s="9">
        <f>SUBTOTAL(109,G3:G20)</f>
        <v>307908</v>
      </c>
      <c r="H21" s="9">
        <f>SUBTOTAL(109,H3:H20)</f>
        <v>71010</v>
      </c>
      <c r="I21" s="9">
        <f t="shared" ref="I21:K21" si="0">SUBTOTAL(109,I3:I20)</f>
        <v>0</v>
      </c>
      <c r="J21" s="9">
        <f t="shared" ref="J21" si="1">SUBTOTAL(109,J3:J20)</f>
        <v>43278</v>
      </c>
      <c r="K21" s="9">
        <f t="shared" si="0"/>
        <v>0</v>
      </c>
      <c r="L21" s="9">
        <f t="shared" ref="L21" si="2">SUBTOTAL(109,L3:L20)</f>
        <v>2130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51318</v>
      </c>
      <c r="F22" s="11">
        <f>Table1423569481011[[#This Row],[Emergency Shelter]]+Table1423569481011[[#This Row],[Shelter Upgrade/Repair]]+Table1423569481011[[#This Row],[Shelter and housing options]]</f>
        <v>19403</v>
      </c>
      <c r="G22" s="11">
        <f t="shared" si="3"/>
        <v>51318</v>
      </c>
      <c r="H22" s="11">
        <f t="shared" ref="H22" si="4">H21/6</f>
        <v>11835</v>
      </c>
      <c r="I22" s="11">
        <f t="shared" si="3"/>
        <v>0</v>
      </c>
      <c r="J22" s="11">
        <f t="shared" ref="J22" si="5">J21/6</f>
        <v>7213</v>
      </c>
      <c r="K22" s="11">
        <f t="shared" si="3"/>
        <v>0</v>
      </c>
      <c r="L22" s="11">
        <f t="shared" ref="L22" si="6">L21/6</f>
        <v>355</v>
      </c>
    </row>
    <row r="23" spans="1:12" x14ac:dyDescent="0.25">
      <c r="A23" s="99"/>
      <c r="B23" s="100"/>
      <c r="C23" s="101"/>
      <c r="D23" s="101"/>
      <c r="E23" s="96">
        <f>E21/D21</f>
        <v>0.13235720816509705</v>
      </c>
      <c r="F23" s="96">
        <f>F21/D21</f>
        <v>5.0043394326111275E-2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42826</v>
      </c>
      <c r="B1" s="93"/>
      <c r="C1" s="93"/>
      <c r="D1" s="93"/>
      <c r="E1" s="134" t="s">
        <v>131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Table142356948101112[[#This Row],[Emergency NFI]]+Table142356948101112[[#This Row],[NFI Replenishment ]]+Table142356948101112[[#This Row],[NFI3]]</f>
        <v>0</v>
      </c>
      <c r="F3" s="91">
        <f>Table142356948101112[[#This Row],[Emergency Shelter]]+Table142356948101112[[#This Row],[Shelter Upgrade/Repair]]+Table142356948101112[[#This Row],[Shelter and housing options]]</f>
        <v>2076</v>
      </c>
      <c r="G3" s="91">
        <v>0</v>
      </c>
      <c r="H3" s="91">
        <v>2058</v>
      </c>
      <c r="I3" s="91">
        <v>0</v>
      </c>
      <c r="J3" s="91">
        <v>18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Table142356948101112[[#This Row],[Emergency NFI]]+Table142356948101112[[#This Row],[NFI Replenishment ]]+Table142356948101112[[#This Row],[NFI3]]</f>
        <v>0</v>
      </c>
      <c r="F4" s="5">
        <f>Table142356948101112[[#This Row],[Emergency Shelter]]+Table142356948101112[[#This Row],[Shelter Upgrade/Repair]]+Table142356948101112[[#This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Table142356948101112[[#This Row],[Emergency NFI]]+Table142356948101112[[#This Row],[NFI Replenishment ]]+Table142356948101112[[#This Row],[NFI3]]</f>
        <v>600</v>
      </c>
      <c r="F5" s="5">
        <f>Table142356948101112[[#This Row],[Emergency Shelter]]+Table142356948101112[[#This Row],[Shelter Upgrade/Repair]]+Table142356948101112[[#This Row],[Shelter and housing options]]</f>
        <v>0</v>
      </c>
      <c r="G5" s="5">
        <v>600</v>
      </c>
      <c r="H5" s="5">
        <v>0</v>
      </c>
      <c r="I5" s="5">
        <v>0</v>
      </c>
      <c r="J5" s="5">
        <v>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Table142356948101112[[#This Row],[Emergency NFI]]+Table142356948101112[[#This Row],[NFI Replenishment ]]+Table142356948101112[[#This Row],[NFI3]]</f>
        <v>0</v>
      </c>
      <c r="F6" s="5">
        <f>Table142356948101112[[#This Row],[Emergency Shelter]]+Table142356948101112[[#This Row],[Shelter Upgrade/Repair]]+Table142356948101112[[#This Row],[Shelter and housing options]]</f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Table142356948101112[[#This Row],[Emergency NFI]]+Table142356948101112[[#This Row],[NFI Replenishment ]]+Table142356948101112[[#This Row],[NFI3]]</f>
        <v>0</v>
      </c>
      <c r="F7" s="5">
        <f>Table142356948101112[[#This Row],[Emergency Shelter]]+Table142356948101112[[#This Row],[Shelter Upgrade/Repair]]+Table142356948101112[[#This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Table142356948101112[[#This Row],[Emergency NFI]]+Table142356948101112[[#This Row],[NFI Replenishment ]]+Table142356948101112[[#This Row],[NFI3]]</f>
        <v>216</v>
      </c>
      <c r="F8" s="5">
        <f>Table142356948101112[[#This Row],[Emergency Shelter]]+Table142356948101112[[#This Row],[Shelter Upgrade/Repair]]+Table142356948101112[[#This Row],[Shelter and housing options]]</f>
        <v>18</v>
      </c>
      <c r="G8" s="5">
        <v>216</v>
      </c>
      <c r="H8" s="5">
        <v>0</v>
      </c>
      <c r="I8" s="5">
        <v>0</v>
      </c>
      <c r="J8" s="5">
        <v>18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Table142356948101112[[#This Row],[Emergency NFI]]+Table142356948101112[[#This Row],[NFI Replenishment ]]+Table142356948101112[[#This Row],[NFI3]]</f>
        <v>9396</v>
      </c>
      <c r="F9" s="5">
        <f>Table142356948101112[[#This Row],[Emergency Shelter]]+Table142356948101112[[#This Row],[Shelter Upgrade/Repair]]+Table142356948101112[[#This Row],[Shelter and housing options]]</f>
        <v>0</v>
      </c>
      <c r="G9" s="5">
        <v>798</v>
      </c>
      <c r="H9" s="5">
        <v>0</v>
      </c>
      <c r="I9" s="5">
        <v>8598</v>
      </c>
      <c r="J9" s="5">
        <v>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Table142356948101112[[#This Row],[Emergency NFI]]+Table142356948101112[[#This Row],[NFI Replenishment ]]+Table142356948101112[[#This Row],[NFI3]]</f>
        <v>0</v>
      </c>
      <c r="F10" s="5">
        <f>Table142356948101112[[#This Row],[Emergency Shelter]]+Table142356948101112[[#This Row],[Shelter Upgrade/Repair]]+Table142356948101112[[#This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Table142356948101112[[#This Row],[Emergency NFI]]+Table142356948101112[[#This Row],[NFI Replenishment ]]+Table142356948101112[[#This Row],[NFI3]]</f>
        <v>5706</v>
      </c>
      <c r="F11" s="5">
        <f>Table142356948101112[[#This Row],[Emergency Shelter]]+Table142356948101112[[#This Row],[Shelter Upgrade/Repair]]+Table142356948101112[[#This Row],[Shelter and housing options]]</f>
        <v>1602</v>
      </c>
      <c r="G11" s="5">
        <v>5706</v>
      </c>
      <c r="H11" s="5">
        <v>6</v>
      </c>
      <c r="I11" s="5">
        <v>0</v>
      </c>
      <c r="J11" s="5">
        <v>1596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Table142356948101112[[#This Row],[Emergency NFI]]+Table142356948101112[[#This Row],[NFI Replenishment ]]+Table142356948101112[[#This Row],[NFI3]]</f>
        <v>0</v>
      </c>
      <c r="F12" s="5">
        <f>Table142356948101112[[#This Row],[Emergency Shelter]]+Table142356948101112[[#This Row],[Shelter Upgrade/Repair]]+Table142356948101112[[#This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Table142356948101112[[#This Row],[Emergency NFI]]+Table142356948101112[[#This Row],[NFI Replenishment ]]+Table142356948101112[[#This Row],[NFI3]]</f>
        <v>0</v>
      </c>
      <c r="F13" s="5">
        <f>Table142356948101112[[#This Row],[Emergency Shelter]]+Table142356948101112[[#This Row],[Shelter Upgrade/Repair]]+Table142356948101112[[#This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Table142356948101112[[#This Row],[Emergency NFI]]+Table142356948101112[[#This Row],[NFI Replenishment ]]+Table142356948101112[[#This Row],[NFI3]]</f>
        <v>0</v>
      </c>
      <c r="F14" s="5">
        <f>Table142356948101112[[#This Row],[Emergency Shelter]]+Table142356948101112[[#This Row],[Shelter Upgrade/Repair]]+Table142356948101112[[#This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Table142356948101112[[#This Row],[Emergency NFI]]+Table142356948101112[[#This Row],[NFI Replenishment ]]+Table142356948101112[[#This Row],[NFI3]]</f>
        <v>244206</v>
      </c>
      <c r="F15" s="5">
        <f>Table142356948101112[[#This Row],[Emergency Shelter]]+Table142356948101112[[#This Row],[Shelter Upgrade/Repair]]+Table142356948101112[[#This Row],[Shelter and housing options]]</f>
        <v>98892</v>
      </c>
      <c r="G15" s="5">
        <v>244206</v>
      </c>
      <c r="H15" s="5">
        <v>97662</v>
      </c>
      <c r="I15" s="5">
        <v>0</v>
      </c>
      <c r="J15" s="5">
        <v>1230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Table142356948101112[[#This Row],[Emergency NFI]]+Table142356948101112[[#This Row],[NFI Replenishment ]]+Table142356948101112[[#This Row],[NFI3]]</f>
        <v>0</v>
      </c>
      <c r="F16" s="5">
        <f>Table142356948101112[[#This Row],[Emergency Shelter]]+Table142356948101112[[#This Row],[Shelter Upgrade/Repair]]+Table142356948101112[[#This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Table142356948101112[[#This Row],[Emergency NFI]]+Table142356948101112[[#This Row],[NFI Replenishment ]]+Table142356948101112[[#This Row],[NFI3]]</f>
        <v>10074</v>
      </c>
      <c r="F17" s="5">
        <f>Table142356948101112[[#This Row],[Emergency Shelter]]+Table142356948101112[[#This Row],[Shelter Upgrade/Repair]]+Table142356948101112[[#This Row],[Shelter and housing options]]</f>
        <v>9714</v>
      </c>
      <c r="G17" s="5">
        <v>10074</v>
      </c>
      <c r="H17" s="5">
        <v>6714</v>
      </c>
      <c r="I17" s="5">
        <v>0</v>
      </c>
      <c r="J17" s="5">
        <v>3000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Table142356948101112[[#This Row],[Emergency NFI]]+Table142356948101112[[#This Row],[NFI Replenishment ]]+Table142356948101112[[#This Row],[NFI3]]</f>
        <v>12</v>
      </c>
      <c r="F18" s="5">
        <f>Table142356948101112[[#This Row],[Emergency Shelter]]+Table142356948101112[[#This Row],[Shelter Upgrade/Repair]]+Table142356948101112[[#This Row],[Shelter and housing options]]</f>
        <v>36</v>
      </c>
      <c r="G18" s="5">
        <v>12</v>
      </c>
      <c r="H18" s="5">
        <v>0</v>
      </c>
      <c r="I18" s="5">
        <v>0</v>
      </c>
      <c r="J18" s="5">
        <v>36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Table142356948101112[[#This Row],[Emergency NFI]]+Table142356948101112[[#This Row],[NFI Replenishment ]]+Table142356948101112[[#This Row],[NFI3]]</f>
        <v>0</v>
      </c>
      <c r="F19" s="5">
        <f>Table142356948101112[[#This Row],[Emergency Shelter]]+Table142356948101112[[#This Row],[Shelter Upgrade/Repair]]+Table142356948101112[[#This Row],[Shelter and housing options]]</f>
        <v>0</v>
      </c>
      <c r="G19" s="5"/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Table142356948101112[[#This Row],[Emergency NFI]]+Table142356948101112[[#This Row],[NFI Replenishment ]]+Table142356948101112[[#This Row],[NFI3]]</f>
        <v>0</v>
      </c>
      <c r="F20" s="5">
        <f>Table142356948101112[[#This Row],[Emergency Shelter]]+Table142356948101112[[#This Row],[Shelter Upgrade/Repair]]+Table142356948101112[[#This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270210</v>
      </c>
      <c r="F21" s="9">
        <f>Table142356948101112[[#This Row],[Emergency Shelter]]+Table142356948101112[[#This Row],[Shelter Upgrade/Repair]]+Table142356948101112[[#This Row],[Shelter and housing options]]</f>
        <v>112338</v>
      </c>
      <c r="G21" s="9">
        <f>SUBTOTAL(109,G3:G20)</f>
        <v>261612</v>
      </c>
      <c r="H21" s="9">
        <f>SUBTOTAL(109,H3:H20)</f>
        <v>106440</v>
      </c>
      <c r="I21" s="9">
        <f t="shared" ref="I21:K21" si="0">SUBTOTAL(109,I3:I20)</f>
        <v>8598</v>
      </c>
      <c r="J21" s="9">
        <f t="shared" ref="J21" si="1">SUBTOTAL(109,J3:J20)</f>
        <v>5898</v>
      </c>
      <c r="K21" s="9">
        <f t="shared" si="0"/>
        <v>0</v>
      </c>
      <c r="L21" s="9">
        <f t="shared" ref="L21" si="2">SUBTOTAL(109,L3:L20)</f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45035</v>
      </c>
      <c r="F22" s="11">
        <f>Table142356948101112[[#This Row],[Emergency Shelter]]+Table142356948101112[[#This Row],[Shelter Upgrade/Repair]]+Table142356948101112[[#This Row],[Shelter and housing options]]</f>
        <v>18723</v>
      </c>
      <c r="G22" s="11">
        <f t="shared" si="3"/>
        <v>43602</v>
      </c>
      <c r="H22" s="11">
        <f t="shared" ref="H22" si="4">H21/6</f>
        <v>17740</v>
      </c>
      <c r="I22" s="11">
        <f t="shared" si="3"/>
        <v>1433</v>
      </c>
      <c r="J22" s="11">
        <f t="shared" ref="J22" si="5">J21/6</f>
        <v>983</v>
      </c>
      <c r="K22" s="11">
        <f t="shared" si="3"/>
        <v>0</v>
      </c>
      <c r="L22" s="11">
        <f t="shared" ref="L22" si="6">L21/6</f>
        <v>0</v>
      </c>
    </row>
    <row r="23" spans="1:12" x14ac:dyDescent="0.25">
      <c r="A23" s="99"/>
      <c r="B23" s="100"/>
      <c r="C23" s="101"/>
      <c r="D23" s="101"/>
      <c r="E23" s="96">
        <f>E21/D21</f>
        <v>0.1161523611542762</v>
      </c>
      <c r="F23" s="96">
        <f>F21/D21</f>
        <v>4.8289567178672436E-2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42856</v>
      </c>
      <c r="B1" s="93"/>
      <c r="C1" s="93"/>
      <c r="D1" s="93"/>
      <c r="E1" s="134" t="s">
        <v>132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Table14235694810111213[[#This Row],[Emergency NFI]]+Table14235694810111213[[#This Row],[NFI Replenishment ]]+Table14235694810111213[[#This Row],[NFI3]]</f>
        <v>1848</v>
      </c>
      <c r="F3" s="91">
        <f>Table14235694810111213[[#This Row],[Emergency Shelter]]+Table14235694810111213[[#This Row],[Shelter Upgrade/Repair]]+Table14235694810111213[[#This Row],[Shelter and housing options]]</f>
        <v>642</v>
      </c>
      <c r="G3" s="91">
        <v>1848</v>
      </c>
      <c r="H3" s="91">
        <v>480</v>
      </c>
      <c r="I3" s="91">
        <v>0</v>
      </c>
      <c r="J3" s="91">
        <v>6</v>
      </c>
      <c r="K3" s="91">
        <v>0</v>
      </c>
      <c r="L3" s="90">
        <f>26*6</f>
        <v>156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Table14235694810111213[[#This Row],[Emergency NFI]]+Table14235694810111213[[#This Row],[NFI Replenishment ]]+Table14235694810111213[[#This Row],[NFI3]]</f>
        <v>0</v>
      </c>
      <c r="F4" s="5">
        <f>Table14235694810111213[[#This Row],[Emergency Shelter]]+Table14235694810111213[[#This Row],[Shelter Upgrade/Repair]]+Table14235694810111213[[#This Row],[Shelter and housing options]]</f>
        <v>210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f>35*6</f>
        <v>210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Table14235694810111213[[#This Row],[Emergency NFI]]+Table14235694810111213[[#This Row],[NFI Replenishment ]]+Table14235694810111213[[#This Row],[NFI3]]</f>
        <v>0</v>
      </c>
      <c r="F5" s="5">
        <f>Table14235694810111213[[#This Row],[Emergency Shelter]]+Table14235694810111213[[#This Row],[Shelter Upgrade/Repair]]+Table14235694810111213[[#This Row],[Shelter and housing options]]</f>
        <v>1416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89">
        <f>236*6</f>
        <v>1416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Table14235694810111213[[#This Row],[Emergency NFI]]+Table14235694810111213[[#This Row],[NFI Replenishment ]]+Table14235694810111213[[#This Row],[NFI3]]</f>
        <v>420</v>
      </c>
      <c r="F6" s="5">
        <f>Table14235694810111213[[#This Row],[Emergency Shelter]]+Table14235694810111213[[#This Row],[Shelter Upgrade/Repair]]+Table14235694810111213[[#This Row],[Shelter and housing options]]</f>
        <v>0</v>
      </c>
      <c r="G6" s="5">
        <v>420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Table14235694810111213[[#This Row],[Emergency NFI]]+Table14235694810111213[[#This Row],[NFI Replenishment ]]+Table14235694810111213[[#This Row],[NFI3]]</f>
        <v>0</v>
      </c>
      <c r="F7" s="5">
        <f>Table14235694810111213[[#This Row],[Emergency Shelter]]+Table14235694810111213[[#This Row],[Shelter Upgrade/Repair]]+Table14235694810111213[[#This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Table14235694810111213[[#This Row],[Emergency NFI]]+Table14235694810111213[[#This Row],[NFI Replenishment ]]+Table14235694810111213[[#This Row],[NFI3]]</f>
        <v>282</v>
      </c>
      <c r="F8" s="5">
        <f>Table14235694810111213[[#This Row],[Emergency Shelter]]+Table14235694810111213[[#This Row],[Shelter Upgrade/Repair]]+Table14235694810111213[[#This Row],[Shelter and housing options]]</f>
        <v>3078</v>
      </c>
      <c r="G8" s="5">
        <v>282</v>
      </c>
      <c r="H8" s="5">
        <v>0</v>
      </c>
      <c r="I8" s="5">
        <v>0</v>
      </c>
      <c r="J8" s="5">
        <v>3078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Table14235694810111213[[#This Row],[Emergency NFI]]+Table14235694810111213[[#This Row],[NFI Replenishment ]]+Table14235694810111213[[#This Row],[NFI3]]</f>
        <v>3282</v>
      </c>
      <c r="F9" s="5">
        <f>Table14235694810111213[[#This Row],[Emergency Shelter]]+Table14235694810111213[[#This Row],[Shelter Upgrade/Repair]]+Table14235694810111213[[#This Row],[Shelter and housing options]]</f>
        <v>840</v>
      </c>
      <c r="G9" s="5">
        <v>0</v>
      </c>
      <c r="H9" s="5">
        <v>0</v>
      </c>
      <c r="I9" s="5">
        <v>3282</v>
      </c>
      <c r="J9" s="5">
        <v>0</v>
      </c>
      <c r="K9" s="5">
        <v>0</v>
      </c>
      <c r="L9" s="89">
        <f>140*6</f>
        <v>840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Table14235694810111213[[#This Row],[Emergency NFI]]+Table14235694810111213[[#This Row],[NFI Replenishment ]]+Table14235694810111213[[#This Row],[NFI3]]</f>
        <v>0</v>
      </c>
      <c r="F10" s="5">
        <f>Table14235694810111213[[#This Row],[Emergency Shelter]]+Table14235694810111213[[#This Row],[Shelter Upgrade/Repair]]+Table14235694810111213[[#This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Table14235694810111213[[#This Row],[Emergency NFI]]+Table14235694810111213[[#This Row],[NFI Replenishment ]]+Table14235694810111213[[#This Row],[NFI3]]</f>
        <v>4950</v>
      </c>
      <c r="F11" s="5">
        <f>Table14235694810111213[[#This Row],[Emergency Shelter]]+Table14235694810111213[[#This Row],[Shelter Upgrade/Repair]]+Table14235694810111213[[#This Row],[Shelter and housing options]]</f>
        <v>3114</v>
      </c>
      <c r="G11" s="5">
        <v>4950</v>
      </c>
      <c r="H11" s="5">
        <v>576</v>
      </c>
      <c r="I11" s="5">
        <v>0</v>
      </c>
      <c r="J11" s="5">
        <v>2538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Table14235694810111213[[#This Row],[Emergency NFI]]+Table14235694810111213[[#This Row],[NFI Replenishment ]]+Table14235694810111213[[#This Row],[NFI3]]</f>
        <v>0</v>
      </c>
      <c r="F12" s="5">
        <f>Table14235694810111213[[#This Row],[Emergency Shelter]]+Table14235694810111213[[#This Row],[Shelter Upgrade/Repair]]+Table14235694810111213[[#This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Table14235694810111213[[#This Row],[Emergency NFI]]+Table14235694810111213[[#This Row],[NFI Replenishment ]]+Table14235694810111213[[#This Row],[NFI3]]</f>
        <v>0</v>
      </c>
      <c r="F13" s="5">
        <f>Table14235694810111213[[#This Row],[Emergency Shelter]]+Table14235694810111213[[#This Row],[Shelter Upgrade/Repair]]+Table14235694810111213[[#This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Table14235694810111213[[#This Row],[Emergency NFI]]+Table14235694810111213[[#This Row],[NFI Replenishment ]]+Table14235694810111213[[#This Row],[NFI3]]</f>
        <v>0</v>
      </c>
      <c r="F14" s="5">
        <f>Table14235694810111213[[#This Row],[Emergency Shelter]]+Table14235694810111213[[#This Row],[Shelter Upgrade/Repair]]+Table14235694810111213[[#This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Table14235694810111213[[#This Row],[Emergency NFI]]+Table14235694810111213[[#This Row],[NFI Replenishment ]]+Table14235694810111213[[#This Row],[NFI3]]</f>
        <v>99150</v>
      </c>
      <c r="F15" s="5">
        <f>Table14235694810111213[[#This Row],[Emergency Shelter]]+Table14235694810111213[[#This Row],[Shelter Upgrade/Repair]]+Table14235694810111213[[#This Row],[Shelter and housing options]]</f>
        <v>32742</v>
      </c>
      <c r="G15" s="5">
        <v>99150</v>
      </c>
      <c r="H15" s="5">
        <v>27042</v>
      </c>
      <c r="I15" s="5">
        <v>0</v>
      </c>
      <c r="J15" s="5">
        <v>5700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Table14235694810111213[[#This Row],[Emergency NFI]]+Table14235694810111213[[#This Row],[NFI Replenishment ]]+Table14235694810111213[[#This Row],[NFI3]]</f>
        <v>240</v>
      </c>
      <c r="F16" s="5">
        <f>Table14235694810111213[[#This Row],[Emergency Shelter]]+Table14235694810111213[[#This Row],[Shelter Upgrade/Repair]]+Table14235694810111213[[#This Row],[Shelter and housing options]]</f>
        <v>0</v>
      </c>
      <c r="G16" s="5">
        <v>240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Table14235694810111213[[#This Row],[Emergency NFI]]+Table14235694810111213[[#This Row],[NFI Replenishment ]]+Table14235694810111213[[#This Row],[NFI3]]</f>
        <v>10944</v>
      </c>
      <c r="F17" s="5">
        <f>Table14235694810111213[[#This Row],[Emergency Shelter]]+Table14235694810111213[[#This Row],[Shelter Upgrade/Repair]]+Table14235694810111213[[#This Row],[Shelter and housing options]]</f>
        <v>2892</v>
      </c>
      <c r="G17" s="5">
        <v>10944</v>
      </c>
      <c r="H17" s="5">
        <v>960</v>
      </c>
      <c r="I17" s="5">
        <v>0</v>
      </c>
      <c r="J17" s="5">
        <v>1230</v>
      </c>
      <c r="K17" s="5">
        <v>0</v>
      </c>
      <c r="L17" s="89">
        <f>117*6</f>
        <v>702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Table14235694810111213[[#This Row],[Emergency NFI]]+Table14235694810111213[[#This Row],[NFI Replenishment ]]+Table14235694810111213[[#This Row],[NFI3]]</f>
        <v>108</v>
      </c>
      <c r="F18" s="5">
        <f>Table14235694810111213[[#This Row],[Emergency Shelter]]+Table14235694810111213[[#This Row],[Shelter Upgrade/Repair]]+Table14235694810111213[[#This Row],[Shelter and housing options]]</f>
        <v>2178</v>
      </c>
      <c r="G18" s="5">
        <v>108</v>
      </c>
      <c r="H18" s="5">
        <v>6</v>
      </c>
      <c r="I18" s="5">
        <v>0</v>
      </c>
      <c r="J18" s="5">
        <v>2172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Table14235694810111213[[#This Row],[Emergency NFI]]+Table14235694810111213[[#This Row],[NFI Replenishment ]]+Table14235694810111213[[#This Row],[NFI3]]</f>
        <v>180</v>
      </c>
      <c r="F19" s="5">
        <f>Table14235694810111213[[#This Row],[Emergency Shelter]]+Table14235694810111213[[#This Row],[Shelter Upgrade/Repair]]+Table14235694810111213[[#This Row],[Shelter and housing options]]</f>
        <v>0</v>
      </c>
      <c r="G19" s="5">
        <v>180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Table14235694810111213[[#This Row],[Emergency NFI]]+Table14235694810111213[[#This Row],[NFI Replenishment ]]+Table14235694810111213[[#This Row],[NFI3]]</f>
        <v>0</v>
      </c>
      <c r="F20" s="5">
        <f>Table14235694810111213[[#This Row],[Emergency Shelter]]+Table14235694810111213[[#This Row],[Shelter Upgrade/Repair]]+Table14235694810111213[[#This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121404</v>
      </c>
      <c r="F21" s="9">
        <f>Table14235694810111213[[#This Row],[Emergency Shelter]]+Table14235694810111213[[#This Row],[Shelter Upgrade/Repair]]+Table14235694810111213[[#This Row],[Shelter and housing options]]</f>
        <v>47112</v>
      </c>
      <c r="G21" s="9">
        <f>SUBTOTAL(109,G3:G20)</f>
        <v>118122</v>
      </c>
      <c r="H21" s="9">
        <f>SUBTOTAL(109,H3:H20)</f>
        <v>29064</v>
      </c>
      <c r="I21" s="9">
        <f t="shared" ref="I21:K21" si="0">SUBTOTAL(109,I3:I20)</f>
        <v>3282</v>
      </c>
      <c r="J21" s="9">
        <f t="shared" ref="J21" si="1">SUBTOTAL(109,J3:J20)</f>
        <v>14724</v>
      </c>
      <c r="K21" s="9">
        <f t="shared" si="0"/>
        <v>0</v>
      </c>
      <c r="L21" s="9">
        <f t="shared" ref="L21" si="2">SUBTOTAL(109,L3:L20)</f>
        <v>3324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20234</v>
      </c>
      <c r="F22" s="11">
        <f>Table14235694810111213[[#This Row],[Emergency Shelter]]+Table14235694810111213[[#This Row],[Shelter Upgrade/Repair]]+Table14235694810111213[[#This Row],[Shelter and housing options]]</f>
        <v>7852</v>
      </c>
      <c r="G22" s="11">
        <f t="shared" si="3"/>
        <v>19687</v>
      </c>
      <c r="H22" s="11">
        <f t="shared" ref="H22" si="4">H21/6</f>
        <v>4844</v>
      </c>
      <c r="I22" s="11">
        <f t="shared" si="3"/>
        <v>547</v>
      </c>
      <c r="J22" s="11">
        <f t="shared" ref="J22" si="5">J21/6</f>
        <v>2454</v>
      </c>
      <c r="K22" s="11">
        <f t="shared" si="3"/>
        <v>0</v>
      </c>
      <c r="L22" s="11">
        <f t="shared" ref="L22" si="6">L21/6</f>
        <v>554</v>
      </c>
    </row>
    <row r="23" spans="1:12" x14ac:dyDescent="0.25">
      <c r="A23" s="99"/>
      <c r="B23" s="100"/>
      <c r="C23" s="101"/>
      <c r="D23" s="101"/>
      <c r="E23" s="96">
        <f>E21/D21</f>
        <v>5.2186674266584319E-2</v>
      </c>
      <c r="F23" s="96">
        <f>F21/D21</f>
        <v>2.0251545237778987E-2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42887</v>
      </c>
      <c r="B1" s="93"/>
      <c r="C1" s="93"/>
      <c r="D1" s="93"/>
      <c r="E1" s="134" t="s">
        <v>133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Table1423569481011121314[[#This Row],[Emergency NFI]]+Table1423569481011121314[[#This Row],[NFI Replenishment ]]+Table1423569481011121314[[#This Row],[NFI3]]</f>
        <v>18126</v>
      </c>
      <c r="F3" s="91">
        <f>Table1423569481011121314[[#This Row],[Emergency Shelter]]+Table1423569481011121314[[#This Row],[Shelter Upgrade/Repair]]+Table1423569481011121314[[#This Row],[Shelter and housing options]]</f>
        <v>0</v>
      </c>
      <c r="G3" s="91">
        <v>18126</v>
      </c>
      <c r="H3" s="91">
        <v>0</v>
      </c>
      <c r="I3" s="91">
        <v>0</v>
      </c>
      <c r="J3" s="91">
        <v>0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Table1423569481011121314[[#This Row],[Emergency NFI]]+Table1423569481011121314[[#This Row],[NFI Replenishment ]]+Table1423569481011121314[[#This Row],[NFI3]]</f>
        <v>0</v>
      </c>
      <c r="F4" s="5">
        <f>Table1423569481011121314[[#This Row],[Emergency Shelter]]+Table1423569481011121314[[#This Row],[Shelter Upgrade/Repair]]+Table1423569481011121314[[#This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Table1423569481011121314[[#This Row],[Emergency NFI]]+Table1423569481011121314[[#This Row],[NFI Replenishment ]]+Table1423569481011121314[[#This Row],[NFI3]]</f>
        <v>168</v>
      </c>
      <c r="F5" s="5">
        <f>Table1423569481011121314[[#This Row],[Emergency Shelter]]+Table1423569481011121314[[#This Row],[Shelter Upgrade/Repair]]+Table1423569481011121314[[#This Row],[Shelter and housing options]]</f>
        <v>1044</v>
      </c>
      <c r="G5" s="5">
        <v>168</v>
      </c>
      <c r="H5" s="5">
        <v>702</v>
      </c>
      <c r="I5" s="5">
        <v>0</v>
      </c>
      <c r="J5" s="5">
        <v>0</v>
      </c>
      <c r="K5" s="5">
        <v>0</v>
      </c>
      <c r="L5" s="89">
        <f>57*6</f>
        <v>342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Table1423569481011121314[[#This Row],[Emergency NFI]]+Table1423569481011121314[[#This Row],[NFI Replenishment ]]+Table1423569481011121314[[#This Row],[NFI3]]</f>
        <v>0</v>
      </c>
      <c r="F6" s="5">
        <f>Table1423569481011121314[[#This Row],[Emergency Shelter]]+Table1423569481011121314[[#This Row],[Shelter Upgrade/Repair]]+Table1423569481011121314[[#This Row],[Shelter and housing options]]</f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Table1423569481011121314[[#This Row],[Emergency NFI]]+Table1423569481011121314[[#This Row],[NFI Replenishment ]]+Table1423569481011121314[[#This Row],[NFI3]]</f>
        <v>0</v>
      </c>
      <c r="F7" s="5">
        <f>Table1423569481011121314[[#This Row],[Emergency Shelter]]+Table1423569481011121314[[#This Row],[Shelter Upgrade/Repair]]+Table1423569481011121314[[#This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Table1423569481011121314[[#This Row],[Emergency NFI]]+Table1423569481011121314[[#This Row],[NFI Replenishment ]]+Table1423569481011121314[[#This Row],[NFI3]]</f>
        <v>36</v>
      </c>
      <c r="F8" s="5">
        <f>Table1423569481011121314[[#This Row],[Emergency Shelter]]+Table1423569481011121314[[#This Row],[Shelter Upgrade/Repair]]+Table1423569481011121314[[#This Row],[Shelter and housing options]]</f>
        <v>6</v>
      </c>
      <c r="G8" s="5">
        <v>36</v>
      </c>
      <c r="H8" s="5">
        <v>0</v>
      </c>
      <c r="I8" s="5">
        <v>0</v>
      </c>
      <c r="J8" s="5">
        <v>6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Table1423569481011121314[[#This Row],[Emergency NFI]]+Table1423569481011121314[[#This Row],[NFI Replenishment ]]+Table1423569481011121314[[#This Row],[NFI3]]</f>
        <v>2346</v>
      </c>
      <c r="F9" s="5">
        <f>Table1423569481011121314[[#This Row],[Emergency Shelter]]+Table1423569481011121314[[#This Row],[Shelter Upgrade/Repair]]+Table1423569481011121314[[#This Row],[Shelter and housing options]]</f>
        <v>2148</v>
      </c>
      <c r="G9" s="5">
        <v>0</v>
      </c>
      <c r="H9" s="5">
        <v>0</v>
      </c>
      <c r="I9" s="5">
        <v>2346</v>
      </c>
      <c r="J9" s="5">
        <v>1890</v>
      </c>
      <c r="K9" s="5">
        <v>0</v>
      </c>
      <c r="L9" s="89">
        <f>43*6</f>
        <v>258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Table1423569481011121314[[#This Row],[Emergency NFI]]+Table1423569481011121314[[#This Row],[NFI Replenishment ]]+Table1423569481011121314[[#This Row],[NFI3]]</f>
        <v>0</v>
      </c>
      <c r="F10" s="5">
        <f>Table1423569481011121314[[#This Row],[Emergency Shelter]]+Table1423569481011121314[[#This Row],[Shelter Upgrade/Repair]]+Table1423569481011121314[[#This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Table1423569481011121314[[#This Row],[Emergency NFI]]+Table1423569481011121314[[#This Row],[NFI Replenishment ]]+Table1423569481011121314[[#This Row],[NFI3]]</f>
        <v>30</v>
      </c>
      <c r="F11" s="5">
        <f>Table1423569481011121314[[#This Row],[Emergency Shelter]]+Table1423569481011121314[[#This Row],[Shelter Upgrade/Repair]]+Table1423569481011121314[[#This Row],[Shelter and housing options]]</f>
        <v>0</v>
      </c>
      <c r="G11" s="5">
        <v>30</v>
      </c>
      <c r="H11" s="5">
        <v>0</v>
      </c>
      <c r="I11" s="5">
        <v>0</v>
      </c>
      <c r="J11" s="5">
        <v>0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Table1423569481011121314[[#This Row],[Emergency NFI]]+Table1423569481011121314[[#This Row],[NFI Replenishment ]]+Table1423569481011121314[[#This Row],[NFI3]]</f>
        <v>0</v>
      </c>
      <c r="F12" s="5">
        <f>Table1423569481011121314[[#This Row],[Emergency Shelter]]+Table1423569481011121314[[#This Row],[Shelter Upgrade/Repair]]+Table1423569481011121314[[#This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Table1423569481011121314[[#This Row],[Emergency NFI]]+Table1423569481011121314[[#This Row],[NFI Replenishment ]]+Table1423569481011121314[[#This Row],[NFI3]]</f>
        <v>0</v>
      </c>
      <c r="F13" s="5">
        <f>Table1423569481011121314[[#This Row],[Emergency Shelter]]+Table1423569481011121314[[#This Row],[Shelter Upgrade/Repair]]+Table1423569481011121314[[#This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Table1423569481011121314[[#This Row],[Emergency NFI]]+Table1423569481011121314[[#This Row],[NFI Replenishment ]]+Table1423569481011121314[[#This Row],[NFI3]]</f>
        <v>0</v>
      </c>
      <c r="F14" s="5">
        <f>Table1423569481011121314[[#This Row],[Emergency Shelter]]+Table1423569481011121314[[#This Row],[Shelter Upgrade/Repair]]+Table1423569481011121314[[#This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Table1423569481011121314[[#This Row],[Emergency NFI]]+Table1423569481011121314[[#This Row],[NFI Replenishment ]]+Table1423569481011121314[[#This Row],[NFI3]]</f>
        <v>62784</v>
      </c>
      <c r="F15" s="5">
        <f>Table1423569481011121314[[#This Row],[Emergency Shelter]]+Table1423569481011121314[[#This Row],[Shelter Upgrade/Repair]]+Table1423569481011121314[[#This Row],[Shelter and housing options]]</f>
        <v>11964</v>
      </c>
      <c r="G15" s="5">
        <v>62784</v>
      </c>
      <c r="H15" s="5">
        <v>3564</v>
      </c>
      <c r="I15" s="5">
        <v>0</v>
      </c>
      <c r="J15" s="5">
        <v>5400</v>
      </c>
      <c r="K15" s="5">
        <v>0</v>
      </c>
      <c r="L15" s="89">
        <f>500*6</f>
        <v>3000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Table1423569481011121314[[#This Row],[Emergency NFI]]+Table1423569481011121314[[#This Row],[NFI Replenishment ]]+Table1423569481011121314[[#This Row],[NFI3]]</f>
        <v>0</v>
      </c>
      <c r="F16" s="5">
        <f>Table1423569481011121314[[#This Row],[Emergency Shelter]]+Table1423569481011121314[[#This Row],[Shelter Upgrade/Repair]]+Table1423569481011121314[[#This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Table1423569481011121314[[#This Row],[Emergency NFI]]+Table1423569481011121314[[#This Row],[NFI Replenishment ]]+Table1423569481011121314[[#This Row],[NFI3]]</f>
        <v>6414</v>
      </c>
      <c r="F17" s="5">
        <f>Table1423569481011121314[[#This Row],[Emergency Shelter]]+Table1423569481011121314[[#This Row],[Shelter Upgrade/Repair]]+Table1423569481011121314[[#This Row],[Shelter and housing options]]</f>
        <v>6000</v>
      </c>
      <c r="G17" s="5">
        <v>6414</v>
      </c>
      <c r="H17" s="5">
        <v>6000</v>
      </c>
      <c r="I17" s="5">
        <v>0</v>
      </c>
      <c r="J17" s="5">
        <v>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Table1423569481011121314[[#This Row],[Emergency NFI]]+Table1423569481011121314[[#This Row],[NFI Replenishment ]]+Table1423569481011121314[[#This Row],[NFI3]]</f>
        <v>960</v>
      </c>
      <c r="F18" s="5">
        <f>Table1423569481011121314[[#This Row],[Emergency Shelter]]+Table1423569481011121314[[#This Row],[Shelter Upgrade/Repair]]+Table1423569481011121314[[#This Row],[Shelter and housing options]]</f>
        <v>4170</v>
      </c>
      <c r="G18" s="5">
        <v>960</v>
      </c>
      <c r="H18" s="5">
        <v>30</v>
      </c>
      <c r="I18" s="5">
        <v>0</v>
      </c>
      <c r="J18" s="5">
        <v>4140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Table1423569481011121314[[#This Row],[Emergency NFI]]+Table1423569481011121314[[#This Row],[NFI Replenishment ]]+Table1423569481011121314[[#This Row],[NFI3]]</f>
        <v>0</v>
      </c>
      <c r="F19" s="5">
        <f>Table1423569481011121314[[#This Row],[Emergency Shelter]]+Table1423569481011121314[[#This Row],[Shelter Upgrade/Repair]]+Table1423569481011121314[[#This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Table1423569481011121314[[#This Row],[Emergency NFI]]+Table1423569481011121314[[#This Row],[NFI Replenishment ]]+Table1423569481011121314[[#This Row],[NFI3]]</f>
        <v>0</v>
      </c>
      <c r="F20" s="5">
        <f>Table1423569481011121314[[#This Row],[Emergency Shelter]]+Table1423569481011121314[[#This Row],[Shelter Upgrade/Repair]]+Table1423569481011121314[[#This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90864</v>
      </c>
      <c r="F21" s="9">
        <f>Table1423569481011121314[[#This Row],[Emergency Shelter]]+Table1423569481011121314[[#This Row],[Shelter Upgrade/Repair]]+Table1423569481011121314[[#This Row],[Shelter and housing options]]</f>
        <v>25332</v>
      </c>
      <c r="G21" s="9">
        <f>SUBTOTAL(109,G3:G20)</f>
        <v>88518</v>
      </c>
      <c r="H21" s="9">
        <f>SUBTOTAL(109,H3:H20)</f>
        <v>10296</v>
      </c>
      <c r="I21" s="9">
        <f t="shared" ref="I21:K21" si="0">SUBTOTAL(109,I3:I20)</f>
        <v>2346</v>
      </c>
      <c r="J21" s="9">
        <f t="shared" ref="J21" si="1">SUBTOTAL(109,J3:J20)</f>
        <v>11436</v>
      </c>
      <c r="K21" s="9">
        <f t="shared" si="0"/>
        <v>0</v>
      </c>
      <c r="L21" s="9">
        <f t="shared" ref="L21" si="2">SUBTOTAL(109,L3:L20)</f>
        <v>3600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15144</v>
      </c>
      <c r="F22" s="11">
        <f>Table1423569481011121314[[#This Row],[Emergency Shelter]]+Table1423569481011121314[[#This Row],[Shelter Upgrade/Repair]]+Table1423569481011121314[[#This Row],[Shelter and housing options]]</f>
        <v>4222</v>
      </c>
      <c r="G22" s="11">
        <f t="shared" si="3"/>
        <v>14753</v>
      </c>
      <c r="H22" s="11">
        <f t="shared" ref="H22" si="4">H21/6</f>
        <v>1716</v>
      </c>
      <c r="I22" s="11">
        <f t="shared" si="3"/>
        <v>391</v>
      </c>
      <c r="J22" s="11">
        <f t="shared" ref="J22" si="5">J21/6</f>
        <v>1906</v>
      </c>
      <c r="K22" s="11">
        <f t="shared" si="3"/>
        <v>0</v>
      </c>
      <c r="L22" s="11">
        <f t="shared" ref="L22" si="6">L21/6</f>
        <v>600</v>
      </c>
    </row>
    <row r="23" spans="1:12" x14ac:dyDescent="0.25">
      <c r="A23" s="99"/>
      <c r="B23" s="100"/>
      <c r="C23" s="101"/>
      <c r="D23" s="101"/>
      <c r="E23" s="96">
        <f>E21/D21</f>
        <v>3.9058762236490706E-2</v>
      </c>
      <c r="F23" s="96">
        <f>F21/D21</f>
        <v>1.0889203259539338E-2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42917</v>
      </c>
      <c r="B1" s="93"/>
      <c r="C1" s="93"/>
      <c r="D1" s="93"/>
      <c r="E1" s="134" t="s">
        <v>135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Table14235694810111213142[[#This Row],[Emergency NFI]]+Table14235694810111213142[[#This Row],[NFI Replenishment ]]+Table14235694810111213142[[#This Row],[NFI3]]</f>
        <v>2232</v>
      </c>
      <c r="F3" s="91">
        <f>Table14235694810111213142[[#This Row],[Emergency Shelter]]+Table14235694810111213142[[#This Row],[Shelter Upgrade/Repair]]+Table14235694810111213142[[#This Row],[Shelter and housing options]]</f>
        <v>24</v>
      </c>
      <c r="G3" s="91">
        <v>2232</v>
      </c>
      <c r="H3" s="91">
        <v>0</v>
      </c>
      <c r="I3" s="91">
        <v>0</v>
      </c>
      <c r="J3" s="91">
        <v>24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Table14235694810111213142[[#This Row],[Emergency NFI]]+Table14235694810111213142[[#This Row],[NFI Replenishment ]]+Table14235694810111213142[[#This Row],[NFI3]]</f>
        <v>0</v>
      </c>
      <c r="F4" s="5">
        <f>Table14235694810111213142[[#This Row],[Emergency Shelter]]+Table14235694810111213142[[#This Row],[Shelter Upgrade/Repair]]+Table14235694810111213142[[#This Row],[Shelter and housing options]]</f>
        <v>0</v>
      </c>
      <c r="G4" s="5">
        <v>0</v>
      </c>
      <c r="H4" s="5">
        <v>0</v>
      </c>
      <c r="I4" s="5">
        <v>0</v>
      </c>
      <c r="J4" s="91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Table14235694810111213142[[#This Row],[Emergency NFI]]+Table14235694810111213142[[#This Row],[NFI Replenishment ]]+Table14235694810111213142[[#This Row],[NFI3]]</f>
        <v>180</v>
      </c>
      <c r="F5" s="5">
        <f>Table14235694810111213142[[#This Row],[Emergency Shelter]]+Table14235694810111213142[[#This Row],[Shelter Upgrade/Repair]]+Table14235694810111213142[[#This Row],[Shelter and housing options]]</f>
        <v>0</v>
      </c>
      <c r="G5" s="5">
        <v>180</v>
      </c>
      <c r="H5" s="5">
        <v>0</v>
      </c>
      <c r="I5" s="5">
        <v>0</v>
      </c>
      <c r="J5" s="5">
        <v>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Table14235694810111213142[[#This Row],[Emergency NFI]]+Table14235694810111213142[[#This Row],[NFI Replenishment ]]+Table14235694810111213142[[#This Row],[NFI3]]</f>
        <v>0</v>
      </c>
      <c r="F6" s="5">
        <f>Table14235694810111213142[[#This Row],[Emergency Shelter]]+Table14235694810111213142[[#This Row],[Shelter Upgrade/Repair]]+Table14235694810111213142[[#This Row],[Shelter and housing options]]</f>
        <v>0</v>
      </c>
      <c r="G6" s="5">
        <v>0</v>
      </c>
      <c r="H6" s="5"/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Table14235694810111213142[[#This Row],[Emergency NFI]]+Table14235694810111213142[[#This Row],[NFI Replenishment ]]+Table14235694810111213142[[#This Row],[NFI3]]</f>
        <v>8136</v>
      </c>
      <c r="F7" s="5">
        <f>Table14235694810111213142[[#This Row],[Emergency Shelter]]+Table14235694810111213142[[#This Row],[Shelter Upgrade/Repair]]+Table14235694810111213142[[#This Row],[Shelter and housing options]]</f>
        <v>1698</v>
      </c>
      <c r="G7" s="5">
        <v>8136</v>
      </c>
      <c r="H7" s="5">
        <v>0</v>
      </c>
      <c r="I7" s="5">
        <v>0</v>
      </c>
      <c r="J7" s="5">
        <v>1698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Table14235694810111213142[[#This Row],[Emergency NFI]]+Table14235694810111213142[[#This Row],[NFI Replenishment ]]+Table14235694810111213142[[#This Row],[NFI3]]</f>
        <v>0</v>
      </c>
      <c r="F8" s="5">
        <f>Table14235694810111213142[[#This Row],[Emergency Shelter]]+Table14235694810111213142[[#This Row],[Shelter Upgrade/Repair]]+Table14235694810111213142[[#This Row],[Shelter and housing options]]</f>
        <v>18</v>
      </c>
      <c r="G8" s="5">
        <v>0</v>
      </c>
      <c r="H8" s="5">
        <v>0</v>
      </c>
      <c r="I8" s="5">
        <v>0</v>
      </c>
      <c r="J8" s="5">
        <v>18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Table14235694810111213142[[#This Row],[Emergency NFI]]+Table14235694810111213142[[#This Row],[NFI Replenishment ]]+Table14235694810111213142[[#This Row],[NFI3]]</f>
        <v>83574</v>
      </c>
      <c r="F9" s="5">
        <f>Table14235694810111213142[[#This Row],[Emergency Shelter]]+Table14235694810111213142[[#This Row],[Shelter Upgrade/Repair]]+Table14235694810111213142[[#This Row],[Shelter and housing options]]</f>
        <v>540</v>
      </c>
      <c r="G9" s="5">
        <v>83574</v>
      </c>
      <c r="H9" s="5">
        <v>30</v>
      </c>
      <c r="I9" s="5">
        <v>0</v>
      </c>
      <c r="J9" s="5">
        <v>510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Table14235694810111213142[[#This Row],[Emergency NFI]]+Table14235694810111213142[[#This Row],[NFI Replenishment ]]+Table14235694810111213142[[#This Row],[NFI3]]</f>
        <v>0</v>
      </c>
      <c r="F10" s="5">
        <f>Table14235694810111213142[[#This Row],[Emergency Shelter]]+Table14235694810111213142[[#This Row],[Shelter Upgrade/Repair]]+Table14235694810111213142[[#This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Table14235694810111213142[[#This Row],[Emergency NFI]]+Table14235694810111213142[[#This Row],[NFI Replenishment ]]+Table14235694810111213142[[#This Row],[NFI3]]</f>
        <v>11286</v>
      </c>
      <c r="F11" s="5">
        <f>Table14235694810111213142[[#This Row],[Emergency Shelter]]+Table14235694810111213142[[#This Row],[Shelter Upgrade/Repair]]+Table14235694810111213142[[#This Row],[Shelter and housing options]]</f>
        <v>2034</v>
      </c>
      <c r="G11" s="5">
        <v>11286</v>
      </c>
      <c r="H11" s="5">
        <v>534</v>
      </c>
      <c r="I11" s="5">
        <v>0</v>
      </c>
      <c r="J11" s="5">
        <v>1500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Table14235694810111213142[[#This Row],[Emergency NFI]]+Table14235694810111213142[[#This Row],[NFI Replenishment ]]+Table14235694810111213142[[#This Row],[NFI3]]</f>
        <v>36</v>
      </c>
      <c r="F12" s="5">
        <f>Table14235694810111213142[[#This Row],[Emergency Shelter]]+Table14235694810111213142[[#This Row],[Shelter Upgrade/Repair]]+Table14235694810111213142[[#This Row],[Shelter and housing options]]</f>
        <v>0</v>
      </c>
      <c r="G12" s="5">
        <v>36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Table14235694810111213142[[#This Row],[Emergency NFI]]+Table14235694810111213142[[#This Row],[NFI Replenishment ]]+Table14235694810111213142[[#This Row],[NFI3]]</f>
        <v>0</v>
      </c>
      <c r="F13" s="5">
        <f>Table14235694810111213142[[#This Row],[Emergency Shelter]]+Table14235694810111213142[[#This Row],[Shelter Upgrade/Repair]]+Table14235694810111213142[[#This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Table14235694810111213142[[#This Row],[Emergency NFI]]+Table14235694810111213142[[#This Row],[NFI Replenishment ]]+Table14235694810111213142[[#This Row],[NFI3]]</f>
        <v>0</v>
      </c>
      <c r="F14" s="5">
        <f>Table14235694810111213142[[#This Row],[Emergency Shelter]]+Table14235694810111213142[[#This Row],[Shelter Upgrade/Repair]]+Table14235694810111213142[[#This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Table14235694810111213142[[#This Row],[Emergency NFI]]+Table14235694810111213142[[#This Row],[NFI Replenishment ]]+Table14235694810111213142[[#This Row],[NFI3]]</f>
        <v>255408</v>
      </c>
      <c r="F15" s="5">
        <f>Table14235694810111213142[[#This Row],[Emergency Shelter]]+Table14235694810111213142[[#This Row],[Shelter Upgrade/Repair]]+Table14235694810111213142[[#This Row],[Shelter and housing options]]</f>
        <v>46224</v>
      </c>
      <c r="G15" s="5">
        <v>254088</v>
      </c>
      <c r="H15" s="5">
        <v>11226</v>
      </c>
      <c r="I15" s="5">
        <v>1320</v>
      </c>
      <c r="J15" s="5">
        <v>34998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Table14235694810111213142[[#This Row],[Emergency NFI]]+Table14235694810111213142[[#This Row],[NFI Replenishment ]]+Table14235694810111213142[[#This Row],[NFI3]]</f>
        <v>0</v>
      </c>
      <c r="F16" s="5">
        <f>Table14235694810111213142[[#This Row],[Emergency Shelter]]+Table14235694810111213142[[#This Row],[Shelter Upgrade/Repair]]+Table14235694810111213142[[#This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Table14235694810111213142[[#This Row],[Emergency NFI]]+Table14235694810111213142[[#This Row],[NFI Replenishment ]]+Table14235694810111213142[[#This Row],[NFI3]]</f>
        <v>4794</v>
      </c>
      <c r="F17" s="5">
        <f>Table14235694810111213142[[#This Row],[Emergency Shelter]]+Table14235694810111213142[[#This Row],[Shelter Upgrade/Repair]]+Table14235694810111213142[[#This Row],[Shelter and housing options]]</f>
        <v>4794</v>
      </c>
      <c r="G17" s="5">
        <v>4794</v>
      </c>
      <c r="H17" s="5">
        <v>4794</v>
      </c>
      <c r="I17" s="5">
        <v>0</v>
      </c>
      <c r="J17" s="5">
        <v>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Table14235694810111213142[[#This Row],[Emergency NFI]]+Table14235694810111213142[[#This Row],[NFI Replenishment ]]+Table14235694810111213142[[#This Row],[NFI3]]</f>
        <v>660</v>
      </c>
      <c r="F18" s="5">
        <f>Table14235694810111213142[[#This Row],[Emergency Shelter]]+Table14235694810111213142[[#This Row],[Shelter Upgrade/Repair]]+Table14235694810111213142[[#This Row],[Shelter and housing options]]</f>
        <v>60</v>
      </c>
      <c r="G18" s="5">
        <v>660</v>
      </c>
      <c r="H18" s="5">
        <v>36</v>
      </c>
      <c r="I18" s="5">
        <v>0</v>
      </c>
      <c r="J18" s="5">
        <v>24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Table14235694810111213142[[#This Row],[Emergency NFI]]+Table14235694810111213142[[#This Row],[NFI Replenishment ]]+Table14235694810111213142[[#This Row],[NFI3]]</f>
        <v>0</v>
      </c>
      <c r="F19" s="5">
        <f>Table14235694810111213142[[#This Row],[Emergency Shelter]]+Table14235694810111213142[[#This Row],[Shelter Upgrade/Repair]]+Table14235694810111213142[[#This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Table14235694810111213142[[#This Row],[Emergency NFI]]+Table14235694810111213142[[#This Row],[NFI Replenishment ]]+Table14235694810111213142[[#This Row],[NFI3]]</f>
        <v>0</v>
      </c>
      <c r="F20" s="5">
        <f>Table14235694810111213142[[#This Row],[Emergency Shelter]]+Table14235694810111213142[[#This Row],[Shelter Upgrade/Repair]]+Table14235694810111213142[[#This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366306</v>
      </c>
      <c r="F21" s="9">
        <f>Table14235694810111213142[[#This Row],[Emergency Shelter]]+Table14235694810111213142[[#This Row],[Shelter Upgrade/Repair]]+Table14235694810111213142[[#This Row],[Shelter and housing options]]</f>
        <v>55392</v>
      </c>
      <c r="G21" s="9">
        <f>SUBTOTAL(109,G3:G20)</f>
        <v>364986</v>
      </c>
      <c r="H21" s="9">
        <f>SUBTOTAL(109,H3:H20)</f>
        <v>16620</v>
      </c>
      <c r="I21" s="9">
        <f t="shared" ref="I21:L21" si="0">SUBTOTAL(109,I3:I20)</f>
        <v>1320</v>
      </c>
      <c r="J21" s="9">
        <f t="shared" si="0"/>
        <v>38772</v>
      </c>
      <c r="K21" s="9">
        <f t="shared" si="0"/>
        <v>0</v>
      </c>
      <c r="L21" s="9">
        <f t="shared" si="0"/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L22" si="1">D21/6</f>
        <v>387723.49999999994</v>
      </c>
      <c r="E22" s="11">
        <f t="shared" si="1"/>
        <v>61051</v>
      </c>
      <c r="F22" s="11">
        <f>Table14235694810111213142[[#This Row],[Emergency Shelter]]+Table14235694810111213142[[#This Row],[Shelter Upgrade/Repair]]+Table14235694810111213142[[#This Row],[Shelter and housing options]]</f>
        <v>9232</v>
      </c>
      <c r="G22" s="11">
        <f t="shared" si="1"/>
        <v>60831</v>
      </c>
      <c r="H22" s="11">
        <f t="shared" si="1"/>
        <v>2770</v>
      </c>
      <c r="I22" s="11">
        <f t="shared" si="1"/>
        <v>220</v>
      </c>
      <c r="J22" s="11">
        <f t="shared" si="1"/>
        <v>6462</v>
      </c>
      <c r="K22" s="11">
        <f t="shared" si="1"/>
        <v>0</v>
      </c>
      <c r="L22" s="11">
        <f t="shared" si="1"/>
        <v>0</v>
      </c>
    </row>
    <row r="23" spans="1:12" x14ac:dyDescent="0.25">
      <c r="A23" s="108"/>
      <c r="B23" s="109"/>
      <c r="C23" s="110"/>
      <c r="D23" s="110"/>
      <c r="E23" s="111">
        <f>E21/D21</f>
        <v>0.15746014879160022</v>
      </c>
      <c r="F23" s="111">
        <f>F21/D21</f>
        <v>2.3810782684051911E-2</v>
      </c>
      <c r="G23" s="112"/>
      <c r="H23" s="110"/>
      <c r="I23" s="112"/>
      <c r="J23" s="110"/>
      <c r="K23" s="112"/>
      <c r="L23" s="11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2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2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3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4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4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4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4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4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4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4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4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4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4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4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4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4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4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4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4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4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5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6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42948</v>
      </c>
      <c r="B1" s="93"/>
      <c r="C1" s="93"/>
      <c r="D1" s="93"/>
      <c r="E1" s="134" t="s">
        <v>137</v>
      </c>
      <c r="F1" s="134"/>
      <c r="G1" s="135" t="s">
        <v>38</v>
      </c>
      <c r="H1" s="135"/>
      <c r="I1" s="135" t="s">
        <v>37</v>
      </c>
      <c r="J1" s="135"/>
      <c r="K1" s="135" t="s">
        <v>36</v>
      </c>
      <c r="L1" s="135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Table142356948101112131423[[#This Row],[Emergency NFI]]+Table142356948101112131423[[#This Row],[NFI Replenishment ]]+Table142356948101112131423[[#This Row],[NFI3]]</f>
        <v>26964</v>
      </c>
      <c r="F3" s="91">
        <f>Table142356948101112131423[[#This Row],[Emergency Shelter]]+Table142356948101112131423[[#This Row],[Shelter Upgrade/Repair]]+Table142356948101112131423[[#This Row],[Shelter and housing options]]</f>
        <v>14100</v>
      </c>
      <c r="G3" s="91">
        <v>26964</v>
      </c>
      <c r="H3" s="91">
        <v>6972</v>
      </c>
      <c r="I3" s="91">
        <v>0</v>
      </c>
      <c r="J3" s="91">
        <v>7128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Table142356948101112131423[[#This Row],[Emergency NFI]]+Table142356948101112131423[[#This Row],[NFI Replenishment ]]+Table142356948101112131423[[#This Row],[NFI3]]</f>
        <v>0</v>
      </c>
      <c r="F4" s="5">
        <f>Table142356948101112131423[[#This Row],[Emergency Shelter]]+Table142356948101112131423[[#This Row],[Shelter Upgrade/Repair]]+Table142356948101112131423[[#This Row],[Shelter and housing options]]</f>
        <v>0</v>
      </c>
      <c r="G4" s="91">
        <v>0</v>
      </c>
      <c r="H4" s="5">
        <v>0</v>
      </c>
      <c r="I4" s="5">
        <v>0</v>
      </c>
      <c r="J4" s="91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Table142356948101112131423[[#This Row],[Emergency NFI]]+Table142356948101112131423[[#This Row],[NFI Replenishment ]]+Table142356948101112131423[[#This Row],[NFI3]]</f>
        <v>6</v>
      </c>
      <c r="F5" s="5">
        <f>Table142356948101112131423[[#This Row],[Emergency Shelter]]+Table142356948101112131423[[#This Row],[Shelter Upgrade/Repair]]+Table142356948101112131423[[#This Row],[Shelter and housing options]]</f>
        <v>1506</v>
      </c>
      <c r="G5" s="5">
        <v>6</v>
      </c>
      <c r="H5" s="5">
        <v>6</v>
      </c>
      <c r="I5" s="5">
        <v>0</v>
      </c>
      <c r="J5" s="5">
        <v>1500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Table142356948101112131423[[#This Row],[Emergency NFI]]+Table142356948101112131423[[#This Row],[NFI Replenishment ]]+Table142356948101112131423[[#This Row],[NFI3]]</f>
        <v>0</v>
      </c>
      <c r="F6" s="5">
        <f>Table142356948101112131423[[#This Row],[Emergency Shelter]]+Table142356948101112131423[[#This Row],[Shelter Upgrade/Repair]]+Table142356948101112131423[[#This Row],[Shelter and housing options]]</f>
        <v>0</v>
      </c>
      <c r="G6" s="5">
        <v>0</v>
      </c>
      <c r="H6" s="5">
        <v>0</v>
      </c>
      <c r="I6" s="5"/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Table142356948101112131423[[#This Row],[Emergency NFI]]+Table142356948101112131423[[#This Row],[NFI Replenishment ]]+Table142356948101112131423[[#This Row],[NFI3]]</f>
        <v>0</v>
      </c>
      <c r="F7" s="5">
        <f>Table142356948101112131423[[#This Row],[Emergency Shelter]]+Table142356948101112131423[[#This Row],[Shelter Upgrade/Repair]]+Table142356948101112131423[[#This Row],[Shelter and housing options]]</f>
        <v>546</v>
      </c>
      <c r="G7" s="5">
        <v>0</v>
      </c>
      <c r="H7" s="5">
        <v>0</v>
      </c>
      <c r="I7" s="5">
        <v>0</v>
      </c>
      <c r="J7" s="5">
        <v>546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Table142356948101112131423[[#This Row],[Emergency NFI]]+Table142356948101112131423[[#This Row],[NFI Replenishment ]]+Table142356948101112131423[[#This Row],[NFI3]]</f>
        <v>0</v>
      </c>
      <c r="F8" s="5">
        <f>Table142356948101112131423[[#This Row],[Emergency Shelter]]+Table142356948101112131423[[#This Row],[Shelter Upgrade/Repair]]+Table142356948101112131423[[#This Row],[Shelter and housing options]]</f>
        <v>228</v>
      </c>
      <c r="G8" s="5">
        <v>0</v>
      </c>
      <c r="H8" s="5">
        <v>0</v>
      </c>
      <c r="I8" s="5">
        <v>0</v>
      </c>
      <c r="J8" s="5">
        <v>228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Table142356948101112131423[[#This Row],[Emergency NFI]]+Table142356948101112131423[[#This Row],[NFI Replenishment ]]+Table142356948101112131423[[#This Row],[NFI3]]</f>
        <v>900</v>
      </c>
      <c r="F9" s="5">
        <f>Table142356948101112131423[[#This Row],[Emergency Shelter]]+Table142356948101112131423[[#This Row],[Shelter Upgrade/Repair]]+Table142356948101112131423[[#This Row],[Shelter and housing options]]</f>
        <v>3114</v>
      </c>
      <c r="G9" s="5">
        <v>900</v>
      </c>
      <c r="H9" s="5">
        <v>180</v>
      </c>
      <c r="I9" s="5">
        <v>0</v>
      </c>
      <c r="J9" s="5">
        <v>2934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Table142356948101112131423[[#This Row],[Emergency NFI]]+Table142356948101112131423[[#This Row],[NFI Replenishment ]]+Table142356948101112131423[[#This Row],[NFI3]]</f>
        <v>0</v>
      </c>
      <c r="F10" s="5">
        <f>Table142356948101112131423[[#This Row],[Emergency Shelter]]+Table142356948101112131423[[#This Row],[Shelter Upgrade/Repair]]+Table142356948101112131423[[#This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Table142356948101112131423[[#This Row],[Emergency NFI]]+Table142356948101112131423[[#This Row],[NFI Replenishment ]]+Table142356948101112131423[[#This Row],[NFI3]]</f>
        <v>20508</v>
      </c>
      <c r="F11" s="5">
        <f>Table142356948101112131423[[#This Row],[Emergency Shelter]]+Table142356948101112131423[[#This Row],[Shelter Upgrade/Repair]]+Table142356948101112131423[[#This Row],[Shelter and housing options]]</f>
        <v>9462</v>
      </c>
      <c r="G11" s="5">
        <v>18762</v>
      </c>
      <c r="H11" s="5">
        <v>654</v>
      </c>
      <c r="I11" s="5">
        <v>1746</v>
      </c>
      <c r="J11" s="5">
        <v>8808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Table142356948101112131423[[#This Row],[Emergency NFI]]+Table142356948101112131423[[#This Row],[NFI Replenishment ]]+Table142356948101112131423[[#This Row],[NFI3]]</f>
        <v>0</v>
      </c>
      <c r="F12" s="5">
        <f>Table142356948101112131423[[#This Row],[Emergency Shelter]]+Table142356948101112131423[[#This Row],[Shelter Upgrade/Repair]]+Table142356948101112131423[[#This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Table142356948101112131423[[#This Row],[Emergency NFI]]+Table142356948101112131423[[#This Row],[NFI Replenishment ]]+Table142356948101112131423[[#This Row],[NFI3]]</f>
        <v>0</v>
      </c>
      <c r="F13" s="5">
        <f>Table142356948101112131423[[#This Row],[Emergency Shelter]]+Table142356948101112131423[[#This Row],[Shelter Upgrade/Repair]]+Table142356948101112131423[[#This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Table142356948101112131423[[#This Row],[Emergency NFI]]+Table142356948101112131423[[#This Row],[NFI Replenishment ]]+Table142356948101112131423[[#This Row],[NFI3]]</f>
        <v>0</v>
      </c>
      <c r="F14" s="5">
        <f>Table142356948101112131423[[#This Row],[Emergency Shelter]]+Table142356948101112131423[[#This Row],[Shelter Upgrade/Repair]]+Table142356948101112131423[[#This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Table142356948101112131423[[#This Row],[Emergency NFI]]+Table142356948101112131423[[#This Row],[NFI Replenishment ]]+Table142356948101112131423[[#This Row],[NFI3]]</f>
        <v>35334</v>
      </c>
      <c r="F15" s="5">
        <f>Table142356948101112131423[[#This Row],[Emergency Shelter]]+Table142356948101112131423[[#This Row],[Shelter Upgrade/Repair]]+Table142356948101112131423[[#This Row],[Shelter and housing options]]</f>
        <v>63396</v>
      </c>
      <c r="G15" s="5">
        <v>35334</v>
      </c>
      <c r="H15" s="5">
        <v>59340</v>
      </c>
      <c r="I15" s="5">
        <v>0</v>
      </c>
      <c r="J15" s="5">
        <v>4056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Table142356948101112131423[[#This Row],[Emergency NFI]]+Table142356948101112131423[[#This Row],[NFI Replenishment ]]+Table142356948101112131423[[#This Row],[NFI3]]</f>
        <v>0</v>
      </c>
      <c r="F16" s="5">
        <f>Table142356948101112131423[[#This Row],[Emergency Shelter]]+Table142356948101112131423[[#This Row],[Shelter Upgrade/Repair]]+Table142356948101112131423[[#This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Table142356948101112131423[[#This Row],[Emergency NFI]]+Table142356948101112131423[[#This Row],[NFI Replenishment ]]+Table142356948101112131423[[#This Row],[NFI3]]</f>
        <v>8370</v>
      </c>
      <c r="F17" s="5">
        <f>Table142356948101112131423[[#This Row],[Emergency Shelter]]+Table142356948101112131423[[#This Row],[Shelter Upgrade/Repair]]+Table142356948101112131423[[#This Row],[Shelter and housing options]]</f>
        <v>3000</v>
      </c>
      <c r="G17" s="5">
        <v>8370</v>
      </c>
      <c r="H17" s="5">
        <v>0</v>
      </c>
      <c r="I17" s="5">
        <v>0</v>
      </c>
      <c r="J17" s="5">
        <v>3000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Table142356948101112131423[[#This Row],[Emergency NFI]]+Table142356948101112131423[[#This Row],[NFI Replenishment ]]+Table142356948101112131423[[#This Row],[NFI3]]</f>
        <v>6</v>
      </c>
      <c r="F18" s="5">
        <f>Table142356948101112131423[[#This Row],[Emergency Shelter]]+Table142356948101112131423[[#This Row],[Shelter Upgrade/Repair]]+Table142356948101112131423[[#This Row],[Shelter and housing options]]</f>
        <v>6438</v>
      </c>
      <c r="G18" s="5">
        <v>6</v>
      </c>
      <c r="H18" s="5">
        <v>48</v>
      </c>
      <c r="I18" s="5">
        <v>0</v>
      </c>
      <c r="J18" s="5">
        <v>6390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Table142356948101112131423[[#This Row],[Emergency NFI]]+Table142356948101112131423[[#This Row],[NFI Replenishment ]]+Table142356948101112131423[[#This Row],[NFI3]]</f>
        <v>0</v>
      </c>
      <c r="F19" s="5">
        <f>Table142356948101112131423[[#This Row],[Emergency Shelter]]+Table142356948101112131423[[#This Row],[Shelter Upgrade/Repair]]+Table142356948101112131423[[#This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Table142356948101112131423[[#This Row],[Emergency NFI]]+Table142356948101112131423[[#This Row],[NFI Replenishment ]]+Table142356948101112131423[[#This Row],[NFI3]]</f>
        <v>0</v>
      </c>
      <c r="F20" s="5">
        <f>Table142356948101112131423[[#This Row],[Emergency Shelter]]+Table142356948101112131423[[#This Row],[Shelter Upgrade/Repair]]+Table142356948101112131423[[#This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92088</v>
      </c>
      <c r="F21" s="9">
        <f>Table142356948101112131423[[#This Row],[Emergency Shelter]]+Table142356948101112131423[[#This Row],[Shelter Upgrade/Repair]]+Table142356948101112131423[[#This Row],[Shelter and housing options]]</f>
        <v>101790</v>
      </c>
      <c r="G21" s="9">
        <f>SUBTOTAL(109,G3:G20)</f>
        <v>90342</v>
      </c>
      <c r="H21" s="9">
        <f>SUBTOTAL(109,H3:H20)</f>
        <v>67200</v>
      </c>
      <c r="I21" s="9">
        <f t="shared" ref="I21:L21" si="0">SUBTOTAL(109,I3:I20)</f>
        <v>1746</v>
      </c>
      <c r="J21" s="9">
        <f t="shared" si="0"/>
        <v>34590</v>
      </c>
      <c r="K21" s="9">
        <f t="shared" si="0"/>
        <v>0</v>
      </c>
      <c r="L21" s="9">
        <f t="shared" si="0"/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L22" si="1">D21/6</f>
        <v>387723.49999999994</v>
      </c>
      <c r="E22" s="11">
        <f t="shared" si="1"/>
        <v>15348</v>
      </c>
      <c r="F22" s="11">
        <f>Table142356948101112131423[[#This Row],[Emergency Shelter]]+Table142356948101112131423[[#This Row],[Shelter Upgrade/Repair]]+Table142356948101112131423[[#This Row],[Shelter and housing options]]</f>
        <v>16965</v>
      </c>
      <c r="G22" s="11">
        <f t="shared" si="1"/>
        <v>15057</v>
      </c>
      <c r="H22" s="11">
        <f t="shared" si="1"/>
        <v>11200</v>
      </c>
      <c r="I22" s="11">
        <f t="shared" si="1"/>
        <v>291</v>
      </c>
      <c r="J22" s="11">
        <f t="shared" si="1"/>
        <v>5765</v>
      </c>
      <c r="K22" s="11">
        <f t="shared" si="1"/>
        <v>0</v>
      </c>
      <c r="L22" s="11">
        <f t="shared" si="1"/>
        <v>0</v>
      </c>
    </row>
    <row r="23" spans="1:12" x14ac:dyDescent="0.25">
      <c r="A23" s="116"/>
      <c r="B23" s="117"/>
      <c r="C23" s="118"/>
      <c r="D23" s="118"/>
      <c r="E23" s="119">
        <f>E21/D21</f>
        <v>3.958491038072235E-2</v>
      </c>
      <c r="F23" s="119">
        <f>F21/D21</f>
        <v>4.3755408171029103E-2</v>
      </c>
      <c r="G23" s="120"/>
      <c r="H23" s="118"/>
      <c r="I23" s="120"/>
      <c r="J23" s="118"/>
      <c r="K23" s="120"/>
      <c r="L23" s="121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2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2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3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4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4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4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4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4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4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4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4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4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4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4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4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4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4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4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4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4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5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6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2017 HRP Target</vt:lpstr>
      <vt:lpstr>Jan.17</vt:lpstr>
      <vt:lpstr>Feb.17</vt:lpstr>
      <vt:lpstr>Mar.17</vt:lpstr>
      <vt:lpstr>Apr.17</vt:lpstr>
      <vt:lpstr>May.17</vt:lpstr>
      <vt:lpstr>Jun.17</vt:lpstr>
      <vt:lpstr>Jul.17</vt:lpstr>
      <vt:lpstr>Aug.17</vt:lpstr>
      <vt:lpstr>Sept.17</vt:lpstr>
      <vt:lpstr>Consolidated 2017_Response</vt:lpstr>
      <vt:lpstr>PMR May.17</vt:lpstr>
      <vt:lpstr>PMR Jun.17</vt:lpstr>
      <vt:lpstr>PMR Jul.17</vt:lpstr>
      <vt:lpstr>PMR Aug.17</vt:lpstr>
      <vt:lpstr>PMR Sept.17</vt:lpstr>
      <vt:lpstr>Consolidated 2017_PMR </vt:lpstr>
      <vt:lpstr>'Consolidated 2017_Response'!Print_Area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 Michel</dc:creator>
  <cp:lastModifiedBy>TIA Michel</cp:lastModifiedBy>
  <cp:lastPrinted>2017-09-17T06:01:56Z</cp:lastPrinted>
  <dcterms:created xsi:type="dcterms:W3CDTF">2017-03-08T12:09:38Z</dcterms:created>
  <dcterms:modified xsi:type="dcterms:W3CDTF">2017-10-22T06:47:35Z</dcterms:modified>
</cp:coreProperties>
</file>